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13"/>
  <workbookPr autoCompressPictures="0" defaultThemeVersion="124226"/>
  <xr:revisionPtr revIDLastSave="0" documentId="8_{F70E62D1-91BB-4D79-AB98-D04C686F5D10}" xr6:coauthVersionLast="45" xr6:coauthVersionMax="45" xr10:uidLastSave="{00000000-0000-0000-0000-000000000000}"/>
  <bookViews>
    <workbookView xWindow="-120" yWindow="-120" windowWidth="20730" windowHeight="11160" tabRatio="641" xr2:uid="{00000000-000D-0000-FFFF-FFFF00000000}"/>
  </bookViews>
  <sheets>
    <sheet name="Assumptions" sheetId="1" r:id="rId1"/>
    <sheet name="Benefits" sheetId="19" r:id="rId2"/>
    <sheet name="Costs" sheetId="34" r:id="rId3"/>
    <sheet name="Risk" sheetId="37" r:id="rId4"/>
    <sheet name="Results — Low Case" sheetId="23" r:id="rId5"/>
    <sheet name="Results — High Case" sheetId="36" r:id="rId6"/>
    <sheet name="Overview" sheetId="22" state="hidden" r:id="rId7"/>
    <sheet name="Inputs" sheetId="2" state="hidden" r:id="rId8"/>
  </sheets>
  <definedNames>
    <definedName name="_xlnm.Print_Area" localSheetId="0">Assumptions!$A$1:$E$66</definedName>
    <definedName name="_xlnm.Print_Area" localSheetId="1">Benefits!$A$1:$I$73</definedName>
    <definedName name="_xlnm.Print_Area" localSheetId="2">Costs!$A$1:$I$53</definedName>
    <definedName name="_xlnm.Print_Area" localSheetId="5">'Results — High Case'!$A$1:$F$26</definedName>
    <definedName name="_xlnm.Print_Area" localSheetId="4">'Results — Low Case'!$A$1:$F$26</definedName>
    <definedName name="_xlnm.Print_Area" localSheetId="3">Risk!$A$1:$G$25</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37" l="1"/>
  <c r="B12" i="37"/>
  <c r="C49" i="1"/>
  <c r="B49" i="1"/>
  <c r="B33" i="1"/>
  <c r="D32" i="34"/>
  <c r="E32" i="34"/>
  <c r="G32" i="34"/>
  <c r="H32" i="34"/>
  <c r="I32" i="34"/>
  <c r="I51" i="34" s="1"/>
  <c r="E14" i="36" s="1"/>
  <c r="C32" i="34"/>
  <c r="H18" i="34"/>
  <c r="I18" i="34"/>
  <c r="G18" i="34"/>
  <c r="D18" i="34"/>
  <c r="E18" i="34"/>
  <c r="C18" i="34"/>
  <c r="D23" i="34"/>
  <c r="E23" i="34"/>
  <c r="G23" i="34"/>
  <c r="H23" i="34"/>
  <c r="I23" i="34"/>
  <c r="C23" i="34"/>
  <c r="H36" i="34"/>
  <c r="I36" i="34"/>
  <c r="G36" i="34"/>
  <c r="G51" i="34" s="1"/>
  <c r="C14" i="36" s="1"/>
  <c r="F14" i="36" s="1"/>
  <c r="D36" i="34"/>
  <c r="E36" i="34"/>
  <c r="C36" i="34"/>
  <c r="I61" i="19"/>
  <c r="H61" i="19"/>
  <c r="G61" i="19"/>
  <c r="E61" i="19"/>
  <c r="D61" i="19"/>
  <c r="D62" i="19" s="1"/>
  <c r="D64" i="19" s="1"/>
  <c r="D65" i="19" s="1"/>
  <c r="D67" i="19" s="1"/>
  <c r="C61" i="19"/>
  <c r="I58" i="19"/>
  <c r="H58" i="19"/>
  <c r="G58" i="19"/>
  <c r="D58" i="19"/>
  <c r="E58" i="19"/>
  <c r="C58" i="19"/>
  <c r="C25" i="1"/>
  <c r="B25" i="1"/>
  <c r="C23" i="1"/>
  <c r="C21" i="1"/>
  <c r="G19" i="19" s="1"/>
  <c r="B21" i="1"/>
  <c r="C19" i="19" s="1"/>
  <c r="B23" i="1"/>
  <c r="D20" i="19" s="1"/>
  <c r="H16" i="19"/>
  <c r="I16" i="19"/>
  <c r="G16" i="19"/>
  <c r="D16" i="19"/>
  <c r="E16" i="19"/>
  <c r="C16" i="19"/>
  <c r="C53" i="1"/>
  <c r="B53" i="1"/>
  <c r="B37" i="1"/>
  <c r="B23" i="37"/>
  <c r="B22" i="37"/>
  <c r="B21" i="37"/>
  <c r="B20" i="37"/>
  <c r="G23" i="37"/>
  <c r="G22" i="37"/>
  <c r="G21" i="37"/>
  <c r="G20" i="37"/>
  <c r="G19" i="37"/>
  <c r="E22" i="36" s="1"/>
  <c r="G13" i="37"/>
  <c r="G14" i="37"/>
  <c r="G15" i="37"/>
  <c r="G12" i="37"/>
  <c r="B15" i="37"/>
  <c r="B14" i="37"/>
  <c r="I48" i="19"/>
  <c r="H48" i="19"/>
  <c r="G48" i="19"/>
  <c r="E48" i="19"/>
  <c r="D48" i="19"/>
  <c r="C48" i="19"/>
  <c r="I46" i="19"/>
  <c r="H46" i="19"/>
  <c r="G46" i="19"/>
  <c r="E46" i="19"/>
  <c r="D46" i="19"/>
  <c r="C46" i="19"/>
  <c r="I41" i="19"/>
  <c r="E41" i="19"/>
  <c r="C51" i="1"/>
  <c r="H41" i="19"/>
  <c r="B51" i="1"/>
  <c r="D41" i="19" s="1"/>
  <c r="I38" i="19"/>
  <c r="H38" i="19"/>
  <c r="G38" i="19"/>
  <c r="G41" i="19" s="1"/>
  <c r="E38" i="19"/>
  <c r="D38" i="19"/>
  <c r="C38" i="19"/>
  <c r="E30" i="19"/>
  <c r="G30" i="19"/>
  <c r="C30" i="19"/>
  <c r="I27" i="19"/>
  <c r="H27" i="19"/>
  <c r="G27" i="19"/>
  <c r="E27" i="19"/>
  <c r="D27" i="19"/>
  <c r="C27" i="19"/>
  <c r="G14" i="19"/>
  <c r="H14" i="19" s="1"/>
  <c r="G17" i="19"/>
  <c r="G20" i="19"/>
  <c r="C41" i="19"/>
  <c r="G36" i="19"/>
  <c r="G25" i="19"/>
  <c r="G22" i="19"/>
  <c r="G23" i="19" s="1"/>
  <c r="G39" i="19"/>
  <c r="G31" i="19"/>
  <c r="G28" i="19"/>
  <c r="G33" i="19"/>
  <c r="G34" i="19"/>
  <c r="C14" i="19"/>
  <c r="B35" i="1"/>
  <c r="D30" i="19" s="1"/>
  <c r="C31" i="1"/>
  <c r="C33" i="1"/>
  <c r="I19" i="19"/>
  <c r="E19" i="19"/>
  <c r="C17" i="19"/>
  <c r="D14" i="19"/>
  <c r="D25" i="19" s="1"/>
  <c r="C20" i="19"/>
  <c r="I30" i="19"/>
  <c r="C37" i="1"/>
  <c r="C36" i="19"/>
  <c r="C39" i="19" s="1"/>
  <c r="C25" i="19"/>
  <c r="C31" i="19" s="1"/>
  <c r="C35" i="1"/>
  <c r="H19" i="19"/>
  <c r="H30" i="19"/>
  <c r="D36" i="19"/>
  <c r="D39" i="19" s="1"/>
  <c r="C22" i="19"/>
  <c r="C23" i="19" s="1"/>
  <c r="B43" i="1"/>
  <c r="E47" i="19" s="1"/>
  <c r="C47" i="34"/>
  <c r="I47" i="34"/>
  <c r="H47" i="34"/>
  <c r="G47" i="34"/>
  <c r="D47" i="34"/>
  <c r="E47" i="34"/>
  <c r="D51" i="34"/>
  <c r="D14" i="23" s="1"/>
  <c r="C51" i="34"/>
  <c r="C14" i="23" s="1"/>
  <c r="F14" i="23" s="1"/>
  <c r="E51" i="34"/>
  <c r="E14" i="23" s="1"/>
  <c r="H51" i="34"/>
  <c r="D14" i="36" s="1"/>
  <c r="C17" i="22"/>
  <c r="F17" i="22" s="1"/>
  <c r="J17" i="22"/>
  <c r="J18" i="22"/>
  <c r="C18" i="22"/>
  <c r="C59" i="19"/>
  <c r="C65" i="19" s="1"/>
  <c r="C67" i="19" s="1"/>
  <c r="K17" i="22"/>
  <c r="K18" i="22" s="1"/>
  <c r="D59" i="19"/>
  <c r="G62" i="19"/>
  <c r="G64" i="19"/>
  <c r="G59" i="19"/>
  <c r="E62" i="19"/>
  <c r="E64" i="19" s="1"/>
  <c r="E65" i="19" s="1"/>
  <c r="E67" i="19" s="1"/>
  <c r="E59" i="19"/>
  <c r="I62" i="19"/>
  <c r="I64" i="19"/>
  <c r="I59" i="19"/>
  <c r="I65" i="19" s="1"/>
  <c r="I67" i="19" s="1"/>
  <c r="H62" i="19"/>
  <c r="H64" i="19" s="1"/>
  <c r="H59" i="19"/>
  <c r="H65" i="19" s="1"/>
  <c r="H67" i="19" s="1"/>
  <c r="C62" i="19"/>
  <c r="C64" i="19" s="1"/>
  <c r="G65" i="19"/>
  <c r="G67" i="19" s="1"/>
  <c r="J8" i="22"/>
  <c r="J5" i="22"/>
  <c r="K5" i="22"/>
  <c r="F8" i="22"/>
  <c r="G8" i="22"/>
  <c r="J6" i="22"/>
  <c r="F6" i="22"/>
  <c r="F5" i="22"/>
  <c r="K8" i="22"/>
  <c r="G5" i="22"/>
  <c r="K6" i="22"/>
  <c r="G6" i="22"/>
  <c r="C6" i="2"/>
  <c r="D6" i="2"/>
  <c r="B13" i="2"/>
  <c r="B7" i="2"/>
  <c r="C11" i="2"/>
  <c r="C13" i="2" s="1"/>
  <c r="C21" i="2" s="1"/>
  <c r="C23" i="2" s="1"/>
  <c r="D11" i="2"/>
  <c r="D13" i="2" s="1"/>
  <c r="C12" i="2"/>
  <c r="D12" i="2" s="1"/>
  <c r="B23" i="2"/>
  <c r="B19" i="2"/>
  <c r="C4" i="2"/>
  <c r="C7" i="2" s="1"/>
  <c r="D7" i="2" s="1"/>
  <c r="C17" i="2" s="1"/>
  <c r="C19" i="2" s="1"/>
  <c r="B25" i="2"/>
  <c r="C5" i="2"/>
  <c r="D5" i="2" s="1"/>
  <c r="G4" i="22"/>
  <c r="G10" i="22" s="1"/>
  <c r="K4" i="22"/>
  <c r="K10" i="22"/>
  <c r="J4" i="22"/>
  <c r="J10" i="22" s="1"/>
  <c r="F4" i="22"/>
  <c r="F10" i="22"/>
  <c r="D22" i="36" l="1"/>
  <c r="C22" i="23"/>
  <c r="F18" i="22"/>
  <c r="G17" i="22"/>
  <c r="G18" i="22" s="1"/>
  <c r="G19" i="22" s="1"/>
  <c r="G20" i="22" s="1"/>
  <c r="G23" i="22" s="1"/>
  <c r="G26" i="22" s="1"/>
  <c r="H17" i="19"/>
  <c r="H36" i="19"/>
  <c r="H20" i="19"/>
  <c r="I14" i="19" s="1"/>
  <c r="H25" i="19"/>
  <c r="K19" i="22"/>
  <c r="K20" i="22" s="1"/>
  <c r="K23" i="22" s="1"/>
  <c r="K26" i="22" s="1"/>
  <c r="G42" i="19"/>
  <c r="G44" i="19" s="1"/>
  <c r="D31" i="19"/>
  <c r="D33" i="19" s="1"/>
  <c r="D34" i="19" s="1"/>
  <c r="D28" i="19"/>
  <c r="F22" i="23"/>
  <c r="D4" i="2"/>
  <c r="C22" i="36"/>
  <c r="F22" i="36" s="1"/>
  <c r="G45" i="19"/>
  <c r="H45" i="19" s="1"/>
  <c r="I45" i="19" s="1"/>
  <c r="H47" i="19"/>
  <c r="D17" i="19"/>
  <c r="J19" i="22"/>
  <c r="J20" i="22" s="1"/>
  <c r="J23" i="22" s="1"/>
  <c r="J26" i="22" s="1"/>
  <c r="F19" i="22"/>
  <c r="F20" i="22" s="1"/>
  <c r="F23" i="22" s="1"/>
  <c r="F26" i="22" s="1"/>
  <c r="D47" i="19"/>
  <c r="D42" i="19"/>
  <c r="D44" i="19" s="1"/>
  <c r="C28" i="19"/>
  <c r="C33" i="19" s="1"/>
  <c r="C34" i="19" s="1"/>
  <c r="C42" i="19"/>
  <c r="C44" i="19" s="1"/>
  <c r="D22" i="23"/>
  <c r="I47" i="19"/>
  <c r="E22" i="23"/>
  <c r="G47" i="19"/>
  <c r="D19" i="19"/>
  <c r="C47" i="19"/>
  <c r="I36" i="19" l="1"/>
  <c r="I25" i="19"/>
  <c r="I17" i="19"/>
  <c r="I20" i="19"/>
  <c r="D50" i="19"/>
  <c r="D51" i="19" s="1"/>
  <c r="H42" i="19"/>
  <c r="H44" i="19" s="1"/>
  <c r="H50" i="19" s="1"/>
  <c r="H51" i="19" s="1"/>
  <c r="H39" i="19"/>
  <c r="H22" i="19"/>
  <c r="H23" i="19" s="1"/>
  <c r="E14" i="19"/>
  <c r="D22" i="19"/>
  <c r="D23" i="19" s="1"/>
  <c r="G50" i="19"/>
  <c r="G51" i="19" s="1"/>
  <c r="C50" i="19"/>
  <c r="C51" i="19" s="1"/>
  <c r="C21" i="23" s="1"/>
  <c r="H28" i="19"/>
  <c r="H31" i="19"/>
  <c r="H33" i="19" s="1"/>
  <c r="H34" i="19" s="1"/>
  <c r="C23" i="23" l="1"/>
  <c r="I22" i="19"/>
  <c r="I23" i="19" s="1"/>
  <c r="G53" i="19"/>
  <c r="G71" i="19" s="1"/>
  <c r="C13" i="36" s="1"/>
  <c r="C21" i="36"/>
  <c r="I28" i="19"/>
  <c r="I31" i="19"/>
  <c r="I33" i="19" s="1"/>
  <c r="I34" i="19" s="1"/>
  <c r="E25" i="19"/>
  <c r="E17" i="19"/>
  <c r="E20" i="19"/>
  <c r="E36" i="19"/>
  <c r="I42" i="19"/>
  <c r="I39" i="19"/>
  <c r="D21" i="36"/>
  <c r="D23" i="36" s="1"/>
  <c r="H53" i="19"/>
  <c r="H71" i="19" s="1"/>
  <c r="D13" i="36" s="1"/>
  <c r="D15" i="36" s="1"/>
  <c r="D53" i="19"/>
  <c r="D71" i="19" s="1"/>
  <c r="D13" i="23" s="1"/>
  <c r="D15" i="23" s="1"/>
  <c r="D21" i="23"/>
  <c r="D23" i="23" s="1"/>
  <c r="C53" i="19"/>
  <c r="C71" i="19" s="1"/>
  <c r="C13" i="23" s="1"/>
  <c r="E31" i="19" l="1"/>
  <c r="E33" i="19" s="1"/>
  <c r="E34" i="19" s="1"/>
  <c r="E28" i="19"/>
  <c r="C15" i="23"/>
  <c r="E22" i="19"/>
  <c r="E23" i="19" s="1"/>
  <c r="C23" i="36"/>
  <c r="I44" i="19"/>
  <c r="I50" i="19" s="1"/>
  <c r="I51" i="19" s="1"/>
  <c r="I53" i="19" s="1"/>
  <c r="I71" i="19" s="1"/>
  <c r="E13" i="36" s="1"/>
  <c r="C15" i="36"/>
  <c r="E42" i="19"/>
  <c r="E39" i="19"/>
  <c r="E15" i="36" l="1"/>
  <c r="F13" i="36"/>
  <c r="F16" i="36" s="1"/>
  <c r="E21" i="36"/>
  <c r="E44" i="19"/>
  <c r="E50" i="19" s="1"/>
  <c r="E51" i="19" s="1"/>
  <c r="E21" i="23" s="1"/>
  <c r="F15" i="36"/>
  <c r="E23" i="23" l="1"/>
  <c r="F23" i="23" s="1"/>
  <c r="F21" i="23"/>
  <c r="F24" i="23" s="1"/>
  <c r="E53" i="19"/>
  <c r="E71" i="19" s="1"/>
  <c r="E13" i="23" s="1"/>
  <c r="E23" i="36"/>
  <c r="F23" i="36" s="1"/>
  <c r="F21" i="36"/>
  <c r="F24" i="36" s="1"/>
  <c r="E15" i="23" l="1"/>
  <c r="F15" i="23" s="1"/>
  <c r="F13" i="23"/>
  <c r="F1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Dylan Czarnecki</author>
  </authors>
  <commentList>
    <comment ref="A11" authorId="0" shapeId="0" xr:uid="{00000000-0006-0000-0000-000001000000}">
      <text>
        <r>
          <rPr>
            <sz val="9"/>
            <color indexed="81"/>
            <rFont val="Tahoma"/>
            <family val="2"/>
          </rPr>
          <t>Assumption: The average annual revenue per customer remains static throughout the three-year transformation.</t>
        </r>
      </text>
    </comment>
    <comment ref="A42" authorId="0" shapeId="0" xr:uid="{00000000-0006-0000-0000-000002000000}">
      <text>
        <r>
          <rPr>
            <sz val="9"/>
            <color indexed="81"/>
            <rFont val="Tahoma"/>
            <family val="2"/>
          </rPr>
          <t xml:space="preserve">Assumption: The average number of people recommended to will remain static throughout the three-year transformation
</t>
        </r>
      </text>
    </comment>
    <comment ref="A57" authorId="0" shapeId="0" xr:uid="{00000000-0006-0000-0000-000003000000}">
      <text>
        <r>
          <rPr>
            <sz val="9"/>
            <color indexed="81"/>
            <rFont val="Tahoma"/>
            <family val="2"/>
          </rPr>
          <t xml:space="preserve">Assumption: The cost per call remains static throughout the three-year transformation. 
</t>
        </r>
      </text>
    </comment>
    <comment ref="A58" authorId="0" shapeId="0" xr:uid="{00000000-0006-0000-0000-000004000000}">
      <text>
        <r>
          <rPr>
            <sz val="9"/>
            <color indexed="81"/>
            <rFont val="Tahoma"/>
            <family val="2"/>
          </rPr>
          <t>Assumption: The number of calls remains static throughout the three-year transformation.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Dylan Czarnecki</author>
  </authors>
  <commentList>
    <comment ref="A14" authorId="0" shapeId="0" xr:uid="{00000000-0006-0000-0100-000001000000}">
      <text>
        <r>
          <rPr>
            <sz val="9"/>
            <color indexed="81"/>
            <rFont val="Tahoma"/>
            <family val="2"/>
          </rPr>
          <t>Assumption: Acme's acquisition rate is 25% of current customer base each year. This includes acquisition from any means.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Dylan Czarnecki</author>
  </authors>
  <commentList>
    <comment ref="A10" authorId="0" shapeId="0" xr:uid="{00000000-0006-0000-0300-000001000000}">
      <text>
        <r>
          <rPr>
            <sz val="9"/>
            <color indexed="81"/>
            <rFont val="Tahoma"/>
            <family val="2"/>
          </rPr>
          <t>Best and worst case risk calculations are based on  expert assumptions used in Forrester's Total Economic Impact (TEI) framework.</t>
        </r>
      </text>
    </comment>
    <comment ref="A17" authorId="0" shapeId="0" xr:uid="{00000000-0006-0000-0300-000002000000}">
      <text>
        <r>
          <rPr>
            <sz val="9"/>
            <color indexed="81"/>
            <rFont val="Tahoma"/>
            <family val="2"/>
          </rPr>
          <t xml:space="preserve">Best and worst case risk calculations are based on  expert assumptions used in Forrester's Total Economic Impact (TEI) framework.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Dylan Czarnecki</author>
  </authors>
  <commentList>
    <comment ref="F11" authorId="0" shapeId="0" xr:uid="{00000000-0006-0000-0400-000001000000}">
      <text>
        <r>
          <rPr>
            <sz val="9"/>
            <color indexed="81"/>
            <rFont val="Tahoma"/>
            <family val="2"/>
          </rPr>
          <t>Present value calculations use a 10% discount rate according to Forrester's Total Economic Impact (TEI) framework.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Dylan Czarnecki</author>
  </authors>
  <commentList>
    <comment ref="F11" authorId="0" shapeId="0" xr:uid="{00000000-0006-0000-0500-000001000000}">
      <text>
        <r>
          <rPr>
            <sz val="9"/>
            <color indexed="81"/>
            <rFont val="Tahoma"/>
            <family val="2"/>
          </rPr>
          <t>Present value calculations use a 10% discount rate according to Forrester's Total Economic Impact (TEI) framework.</t>
        </r>
      </text>
    </comment>
  </commentList>
</comments>
</file>

<file path=xl/sharedStrings.xml><?xml version="1.0" encoding="utf-8"?>
<sst xmlns="http://schemas.openxmlformats.org/spreadsheetml/2006/main" count="313" uniqueCount="188">
  <si>
    <t>Forrester Research, Inc.</t>
  </si>
  <si>
    <t>The ROI Of CX Transformation</t>
  </si>
  <si>
    <t>August 2019</t>
  </si>
  <si>
    <t>by Maxie Schmidt-Subramanian</t>
  </si>
  <si>
    <t>Figure 8: Acme's Estimated ROI</t>
  </si>
  <si>
    <t>Assumptions</t>
  </si>
  <si>
    <t>Segment 1</t>
  </si>
  <si>
    <t>Number of customers in target segment</t>
  </si>
  <si>
    <t xml:space="preserve"> = manual inputs specific to Acme's business</t>
  </si>
  <si>
    <t>Average annual revenue per customer in target segment</t>
  </si>
  <si>
    <t>Average annual revenue per additional money market account (MMA)</t>
  </si>
  <si>
    <t>Market share</t>
  </si>
  <si>
    <t>Retention</t>
  </si>
  <si>
    <t>% of customers who stay each year</t>
  </si>
  <si>
    <t>Low case</t>
  </si>
  <si>
    <t>High case</t>
  </si>
  <si>
    <t>Projected improved retention rate after Year 3</t>
  </si>
  <si>
    <t>Percent of projected retention rate expected after Year 1</t>
  </si>
  <si>
    <t>Projected improved retention rate at the end of Year 1</t>
  </si>
  <si>
    <t>Percent of projected retention rate expected after Year 2</t>
  </si>
  <si>
    <t>Projected improved retention rate at the end of Year 2</t>
  </si>
  <si>
    <t>Percent of projected retention rate expected after Year 3</t>
  </si>
  <si>
    <t>Projected improved retention rate at the end of Year 3</t>
  </si>
  <si>
    <t>Cross- and upsell</t>
  </si>
  <si>
    <t>% of customers who added a money market account last year</t>
  </si>
  <si>
    <t>Projected cross- and upsell rate after Year 3</t>
  </si>
  <si>
    <t>Percent of projected cross- and upsell rate expected after Year 1</t>
  </si>
  <si>
    <t>Projected improved cross- and upsell rate at the end of Year 1</t>
  </si>
  <si>
    <t>Percent of projected cross- and upsell rate expected after Year 2</t>
  </si>
  <si>
    <t>Projected improved cross- and upsell rate at the end of Year 2</t>
  </si>
  <si>
    <t>Percent of projected cross- and upsell rate expected after Year 3</t>
  </si>
  <si>
    <t>Projected improved cross- and upsell rate at the end of Year 3</t>
  </si>
  <si>
    <t>Recommendation</t>
  </si>
  <si>
    <t>% of people who are likely to recommend the company</t>
  </si>
  <si>
    <t>Average number of people to which a current customer recommends</t>
  </si>
  <si>
    <t>Percent of people who received a recommendation but aren't customers (1 minus market share in %)</t>
  </si>
  <si>
    <t>Percent of noncustomers who become customers after receiving a recommendation</t>
  </si>
  <si>
    <t>Projected improved recommendation rate (after Year 3)</t>
  </si>
  <si>
    <t>Percent of increase expected after Year 1</t>
  </si>
  <si>
    <t>Projected improved recommendation rate at the end of Year 1</t>
  </si>
  <si>
    <t>Percent of increase expected after Year 2</t>
  </si>
  <si>
    <t>Projected improved recommendation rate at the end of Year 2</t>
  </si>
  <si>
    <t>Percent of increase expected after Year 3</t>
  </si>
  <si>
    <t>Projected improved recommendation rate at the end of Year 3</t>
  </si>
  <si>
    <t>Customer care costs</t>
  </si>
  <si>
    <t>Average cost per call</t>
  </si>
  <si>
    <t>Number of calls per year</t>
  </si>
  <si>
    <t>Projected decrease in call center costs (after Year 3)</t>
  </si>
  <si>
    <t>© 2019 Forrester Research, Inc. All rights reserved. Forrester®, Technographics®, Forrester Wave, TechRadar, and Total Economic Impact are trademarks of Forrester Research, Inc. All other trademarks are the property of their respective owners. Reproduction or sharing of this content in any form without prior written permission is strictly prohibited. For additional reproduction and usage information, see Forrester's Citation Policy located at www.forrester.com. Information is based on best available resources. Opinions reflect judgment at the time and are subject to change.</t>
  </si>
  <si>
    <t>Benefits</t>
  </si>
  <si>
    <t>Low-benefit/low-cost model</t>
  </si>
  <si>
    <t>High-benefit/high-cost model</t>
  </si>
  <si>
    <t>Revenue benefit</t>
  </si>
  <si>
    <t>Year 1</t>
  </si>
  <si>
    <t>Year 2</t>
  </si>
  <si>
    <t>Year 3</t>
  </si>
  <si>
    <t>Number of target customers at the start of the year</t>
  </si>
  <si>
    <t>% of customers who stay each year (current retention rate)</t>
  </si>
  <si>
    <t>Number of customers lost at current retention rate</t>
  </si>
  <si>
    <t>Projected retention rate</t>
  </si>
  <si>
    <t>Projected number of customers lost at new retention rate</t>
  </si>
  <si>
    <t>Incremental customers retained</t>
  </si>
  <si>
    <t>Incremental revenue retained</t>
  </si>
  <si>
    <t>Number of customers at the start of the year</t>
  </si>
  <si>
    <t>Current percentage of customers who purchase a money market account (cross- and upsell rate)</t>
  </si>
  <si>
    <t>Number of customers who purchase a money market account</t>
  </si>
  <si>
    <t>Projected percentage of customers who will purchase a money market account</t>
  </si>
  <si>
    <t>Projected number of customers who will purchase a money market account</t>
  </si>
  <si>
    <t>Incremental customers who purchased a money market account</t>
  </si>
  <si>
    <t>Incremental revenue generated from cross- and upsell</t>
  </si>
  <si>
    <t>Customers at the start of the year</t>
  </si>
  <si>
    <t>Current percentage of customers who are likely to recommend</t>
  </si>
  <si>
    <t>Current number of customers who are likely to recommend</t>
  </si>
  <si>
    <t>Projected percentage of customers who are likely to recommend</t>
  </si>
  <si>
    <t>Projected number of customers who are likely to recommend</t>
  </si>
  <si>
    <t>Incremental increase in number of customers who will recommend</t>
  </si>
  <si>
    <t>Incremental customers acquired</t>
  </si>
  <si>
    <t>Incremental revenue generated from recommendations</t>
  </si>
  <si>
    <t>Total benefit from increased loyalty</t>
  </si>
  <si>
    <t>Cost savings benefit</t>
  </si>
  <si>
    <t>After 1 Year</t>
  </si>
  <si>
    <t>After 2 Years</t>
  </si>
  <si>
    <t>After 3 Years</t>
  </si>
  <si>
    <t>Call center cost savings</t>
  </si>
  <si>
    <t>Number of calls to call center (with no change)</t>
  </si>
  <si>
    <t>Costs from calls (with no change)</t>
  </si>
  <si>
    <t>Projected decrease in call center calls</t>
  </si>
  <si>
    <t>Projected number of calls</t>
  </si>
  <si>
    <t>Cost from calls</t>
  </si>
  <si>
    <t>Incremental costs saved</t>
  </si>
  <si>
    <t>Total incremental cost saving from improved CX</t>
  </si>
  <si>
    <t>Total benefit</t>
  </si>
  <si>
    <t>Total</t>
  </si>
  <si>
    <t>Investment costs</t>
  </si>
  <si>
    <t>Costs</t>
  </si>
  <si>
    <t>Training costs</t>
  </si>
  <si>
    <t>Call center agent retraining</t>
  </si>
  <si>
    <t>Number of employees being training</t>
  </si>
  <si>
    <t>Average training cost per employee</t>
  </si>
  <si>
    <t>Total training costs each year</t>
  </si>
  <si>
    <t>Technology costs</t>
  </si>
  <si>
    <t>Database management system</t>
  </si>
  <si>
    <t>Operating costs</t>
  </si>
  <si>
    <t>Total technology costs each year</t>
  </si>
  <si>
    <t>Touchpoint redesign costs</t>
  </si>
  <si>
    <t>Mobile app redesign</t>
  </si>
  <si>
    <t>Number of employees</t>
  </si>
  <si>
    <t>Percent of employees' time</t>
  </si>
  <si>
    <t>Average full-loaded salary</t>
  </si>
  <si>
    <t>Other costs (user testing, prototyping, etc.)</t>
  </si>
  <si>
    <t>Total touchpoint redesign costs each year</t>
  </si>
  <si>
    <t>Professional services</t>
  </si>
  <si>
    <t>Total professional services costs each year</t>
  </si>
  <si>
    <t>Program operation costs</t>
  </si>
  <si>
    <t>CX team</t>
  </si>
  <si>
    <t>Number of managers</t>
  </si>
  <si>
    <t>Percent of managers' time</t>
  </si>
  <si>
    <t>Total program operation costs each year</t>
  </si>
  <si>
    <t>Total costs</t>
  </si>
  <si>
    <t>Risks</t>
  </si>
  <si>
    <t>Risk-to-benefit</t>
  </si>
  <si>
    <t>Original</t>
  </si>
  <si>
    <t>Best case</t>
  </si>
  <si>
    <t>Worst case</t>
  </si>
  <si>
    <t>Most likely estimate</t>
  </si>
  <si>
    <t>Risk-to-cost</t>
  </si>
  <si>
    <t>Results — low case</t>
  </si>
  <si>
    <t>Original estimate</t>
  </si>
  <si>
    <t>Present value</t>
  </si>
  <si>
    <t>Total benefits</t>
  </si>
  <si>
    <t>Net cash flow</t>
  </si>
  <si>
    <t>ROI</t>
  </si>
  <si>
    <t>Most likely estimates (risk-adjusted)</t>
  </si>
  <si>
    <t>Results — high case</t>
  </si>
  <si>
    <t>INITIAL</t>
  </si>
  <si>
    <t>LOW COST/LOW CHANGE MODEL</t>
  </si>
  <si>
    <t>HIGH COST / HIGH CHANGE MODEL</t>
  </si>
  <si>
    <t>% Change</t>
  </si>
  <si>
    <t>INCOME BENEFIT BY LOB</t>
  </si>
  <si>
    <t>Indviduals on exchange</t>
  </si>
  <si>
    <t>Individuals off exchange</t>
  </si>
  <si>
    <t>Fully Insured</t>
  </si>
  <si>
    <t>ASO</t>
  </si>
  <si>
    <t>ASO!F38</t>
  </si>
  <si>
    <t>ASO!G38</t>
  </si>
  <si>
    <t>ASO!J38</t>
  </si>
  <si>
    <t>ASO!K38</t>
  </si>
  <si>
    <t>SF Trust Association</t>
  </si>
  <si>
    <t>COST SAVINGS</t>
  </si>
  <si>
    <t>Cost Savings</t>
  </si>
  <si>
    <t># of calls per year</t>
  </si>
  <si>
    <t>Costs from # of calls</t>
  </si>
  <si>
    <t>incremental cost saved</t>
  </si>
  <si>
    <t>TOTAL BENEFIT</t>
  </si>
  <si>
    <t>Incremental income benefit (Income benefit + cost savings)</t>
  </si>
  <si>
    <t>Cost of investment</t>
  </si>
  <si>
    <t>Income ROI (benefit-cost/cost)</t>
  </si>
  <si>
    <r>
      <rPr>
        <i/>
        <sz val="11"/>
        <color theme="1"/>
        <rFont val="Calibri"/>
        <family val="2"/>
        <scheme val="minor"/>
      </rPr>
      <t>X</t>
    </r>
    <r>
      <rPr>
        <sz val="11"/>
        <color theme="1"/>
        <rFont val="Calibri"/>
        <family val="2"/>
        <scheme val="minor"/>
      </rPr>
      <t>=</t>
    </r>
  </si>
  <si>
    <t>low cost/ low benefit</t>
  </si>
  <si>
    <t>high cost/ high benefit</t>
  </si>
  <si>
    <t>Revenue generated by loyalty metrics</t>
  </si>
  <si>
    <t>% to recommend</t>
  </si>
  <si>
    <t>Baseline</t>
  </si>
  <si>
    <r>
      <t xml:space="preserve">With </t>
    </r>
    <r>
      <rPr>
        <i/>
        <sz val="11"/>
        <color theme="1"/>
        <rFont val="Calibri"/>
        <family val="2"/>
        <scheme val="minor"/>
      </rPr>
      <t>X</t>
    </r>
    <r>
      <rPr>
        <sz val="11"/>
        <color theme="1"/>
        <rFont val="Calibri"/>
        <family val="2"/>
        <scheme val="minor"/>
      </rPr>
      <t xml:space="preserve"> increase in CX </t>
    </r>
  </si>
  <si>
    <t>Diff.</t>
  </si>
  <si>
    <t>% who enrich</t>
  </si>
  <si>
    <t>% who retain</t>
  </si>
  <si>
    <t>Enrichment</t>
  </si>
  <si>
    <t>Costs affected by loyalty metrics</t>
  </si>
  <si>
    <t>Call center</t>
  </si>
  <si>
    <t>Benefits cost</t>
  </si>
  <si>
    <t>Financials</t>
  </si>
  <si>
    <t>With X increase in CX</t>
  </si>
  <si>
    <t>Diff</t>
  </si>
  <si>
    <t>By Group</t>
  </si>
  <si>
    <t>Premium Revenue</t>
  </si>
  <si>
    <t>Individual</t>
  </si>
  <si>
    <t>Small Group</t>
  </si>
  <si>
    <t>Med. Group</t>
  </si>
  <si>
    <t>Large Group</t>
  </si>
  <si>
    <t>Medicare</t>
  </si>
  <si>
    <t>Other</t>
  </si>
  <si>
    <t>customers</t>
  </si>
  <si>
    <t>customers in wellness program</t>
  </si>
  <si>
    <t>Cost</t>
  </si>
  <si>
    <t>Cost (Benefits and call center)</t>
  </si>
  <si>
    <t>revenue per customer</t>
  </si>
  <si>
    <t>IBITDA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</si>
</sst>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00000%"/>
    <numFmt numFmtId="168" formatCode="0.0%"/>
  </numFmts>
  <fonts count="28">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u/>
      <sz val="11"/>
      <color theme="1"/>
      <name val="Calibri"/>
      <family val="2"/>
      <scheme val="minor"/>
    </font>
    <font>
      <sz val="9"/>
      <color indexed="81"/>
      <name val="Tahoma"/>
      <family val="2"/>
    </font>
    <font>
      <b/>
      <sz val="10"/>
      <name val="Arial"/>
      <family val="2"/>
    </font>
    <font>
      <b/>
      <sz val="16"/>
      <name val="Arial"/>
      <family val="2"/>
    </font>
    <font>
      <sz val="10"/>
      <name val="Arial"/>
      <family val="2"/>
    </font>
    <font>
      <sz val="8"/>
      <name val="Arial"/>
      <family val="2"/>
    </font>
    <font>
      <sz val="10"/>
      <color indexed="8"/>
      <name val="Arial"/>
      <family val="2"/>
    </font>
    <font>
      <b/>
      <sz val="9"/>
      <color theme="0"/>
      <name val="Arial"/>
      <family val="2"/>
    </font>
    <font>
      <b/>
      <sz val="9"/>
      <color theme="1"/>
      <name val="Arial"/>
      <family val="2"/>
    </font>
    <font>
      <sz val="9"/>
      <color theme="1"/>
      <name val="Arial"/>
      <family val="2"/>
    </font>
    <font>
      <i/>
      <sz val="9"/>
      <color theme="1"/>
      <name val="Arial"/>
      <family val="2"/>
    </font>
    <font>
      <sz val="9"/>
      <color rgb="FF000000"/>
      <name val="Arial"/>
      <family val="2"/>
    </font>
    <font>
      <b/>
      <sz val="9"/>
      <name val="Arial"/>
      <family val="2"/>
    </font>
    <font>
      <b/>
      <u/>
      <sz val="9"/>
      <color theme="1"/>
      <name val="Arial"/>
      <family val="2"/>
    </font>
    <font>
      <sz val="10"/>
      <color theme="1"/>
      <name val="Arial"/>
      <family val="2"/>
    </font>
    <font>
      <sz val="16"/>
      <color theme="1"/>
      <name val="Arial"/>
      <family val="2"/>
    </font>
    <font>
      <sz val="11"/>
      <color theme="1"/>
      <name val="Arial"/>
      <family val="2"/>
    </font>
    <font>
      <sz val="11"/>
      <color rgb="FF1F497D"/>
      <name val="Arial"/>
      <family val="2"/>
    </font>
    <font>
      <sz val="9"/>
      <name val="Arial"/>
      <family val="2"/>
    </font>
    <font>
      <b/>
      <u/>
      <sz val="9"/>
      <name val="Arial"/>
      <family val="2"/>
    </font>
  </fonts>
  <fills count="10">
    <fill>
      <patternFill patternType="none"/>
    </fill>
    <fill>
      <patternFill patternType="gray125"/>
    </fill>
    <fill>
      <patternFill patternType="solid">
        <fgColor rgb="FFFFFFCC"/>
        <bgColor indexed="64"/>
      </patternFill>
    </fill>
    <fill>
      <patternFill patternType="solid">
        <fgColor rgb="FFFFFFCC"/>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74">
    <xf numFmtId="0" fontId="0" fillId="0" borderId="0" xfId="0"/>
    <xf numFmtId="0" fontId="0" fillId="0" borderId="0" xfId="0" applyAlignment="1">
      <alignment horizontal="left"/>
    </xf>
    <xf numFmtId="165" fontId="0" fillId="0" borderId="0" xfId="2" applyNumberFormat="1" applyFont="1"/>
    <xf numFmtId="0" fontId="2" fillId="0" borderId="0" xfId="0" applyFont="1" applyAlignment="1">
      <alignment horizontal="left"/>
    </xf>
    <xf numFmtId="165" fontId="0" fillId="0" borderId="0" xfId="0" applyNumberFormat="1"/>
    <xf numFmtId="9" fontId="0" fillId="2" borderId="1" xfId="3" applyFont="1" applyFill="1" applyBorder="1"/>
    <xf numFmtId="164" fontId="0" fillId="2" borderId="1" xfId="1" applyNumberFormat="1" applyFont="1" applyFill="1" applyBorder="1"/>
    <xf numFmtId="165" fontId="0" fillId="2" borderId="1" xfId="2" applyNumberFormat="1" applyFont="1" applyFill="1" applyBorder="1"/>
    <xf numFmtId="0" fontId="0" fillId="0" borderId="0" xfId="0" applyFill="1" applyBorder="1" applyAlignment="1">
      <alignment horizontal="left"/>
    </xf>
    <xf numFmtId="0" fontId="5" fillId="0" borderId="0" xfId="0" applyFont="1"/>
    <xf numFmtId="165" fontId="0" fillId="0" borderId="3" xfId="0" applyNumberFormat="1" applyBorder="1"/>
    <xf numFmtId="0" fontId="2" fillId="0" borderId="2" xfId="0" applyFont="1" applyFill="1" applyBorder="1" applyAlignment="1">
      <alignment horizontal="right"/>
    </xf>
    <xf numFmtId="0" fontId="0" fillId="0" borderId="3" xfId="0" applyBorder="1"/>
    <xf numFmtId="0" fontId="2" fillId="0" borderId="2" xfId="0" applyFont="1" applyBorder="1" applyAlignment="1">
      <alignment horizontal="right"/>
    </xf>
    <xf numFmtId="0" fontId="0" fillId="0" borderId="6" xfId="0" applyBorder="1" applyAlignment="1">
      <alignment horizontal="right"/>
    </xf>
    <xf numFmtId="0" fontId="0" fillId="0" borderId="7" xfId="0" applyBorder="1"/>
    <xf numFmtId="0" fontId="0" fillId="0" borderId="4" xfId="0" applyBorder="1"/>
    <xf numFmtId="0" fontId="0" fillId="0" borderId="8" xfId="0" applyBorder="1" applyAlignment="1">
      <alignment horizontal="right"/>
    </xf>
    <xf numFmtId="0" fontId="0" fillId="0" borderId="0" xfId="0" applyBorder="1"/>
    <xf numFmtId="0" fontId="0" fillId="0" borderId="9" xfId="0" applyBorder="1"/>
    <xf numFmtId="0" fontId="0" fillId="0" borderId="8" xfId="0" applyFill="1" applyBorder="1" applyAlignment="1">
      <alignment horizontal="right"/>
    </xf>
    <xf numFmtId="0" fontId="0" fillId="0" borderId="6" xfId="0" applyFill="1" applyBorder="1" applyAlignment="1">
      <alignment horizontal="left"/>
    </xf>
    <xf numFmtId="165" fontId="0" fillId="2" borderId="0" xfId="2" applyNumberFormat="1" applyFont="1" applyFill="1" applyBorder="1"/>
    <xf numFmtId="0" fontId="0" fillId="0" borderId="10" xfId="0" applyBorder="1"/>
    <xf numFmtId="165" fontId="0" fillId="0" borderId="0" xfId="0" applyNumberFormat="1" applyBorder="1"/>
    <xf numFmtId="165" fontId="0" fillId="0" borderId="10" xfId="0" applyNumberFormat="1" applyBorder="1"/>
    <xf numFmtId="165" fontId="0" fillId="0" borderId="9" xfId="0" applyNumberFormat="1" applyBorder="1"/>
    <xf numFmtId="165" fontId="2" fillId="0" borderId="3" xfId="0" applyNumberFormat="1" applyFont="1" applyBorder="1"/>
    <xf numFmtId="165" fontId="0" fillId="0" borderId="5" xfId="0" applyNumberFormat="1" applyBorder="1"/>
    <xf numFmtId="0" fontId="2" fillId="0" borderId="0" xfId="0" applyFont="1" applyBorder="1" applyAlignment="1">
      <alignment horizontal="right"/>
    </xf>
    <xf numFmtId="0" fontId="0" fillId="0" borderId="6" xfId="0" applyBorder="1"/>
    <xf numFmtId="0" fontId="0" fillId="0" borderId="11" xfId="0" applyBorder="1"/>
    <xf numFmtId="165" fontId="0" fillId="2" borderId="7" xfId="2" applyNumberFormat="1" applyFont="1" applyFill="1" applyBorder="1"/>
    <xf numFmtId="165" fontId="0" fillId="0" borderId="7" xfId="0" applyNumberFormat="1" applyBorder="1"/>
    <xf numFmtId="0" fontId="2" fillId="0" borderId="6" xfId="0" applyFont="1" applyBorder="1" applyAlignment="1">
      <alignment horizontal="right"/>
    </xf>
    <xf numFmtId="0" fontId="0" fillId="0" borderId="0" xfId="0" applyFont="1" applyBorder="1" applyAlignment="1">
      <alignment horizontal="left"/>
    </xf>
    <xf numFmtId="0" fontId="0" fillId="0" borderId="12" xfId="0" applyBorder="1" applyAlignment="1">
      <alignment horizontal="right"/>
    </xf>
    <xf numFmtId="165" fontId="0" fillId="2" borderId="10" xfId="2" applyNumberFormat="1" applyFont="1" applyFill="1" applyBorder="1"/>
    <xf numFmtId="0" fontId="0" fillId="0" borderId="0" xfId="0" applyAlignment="1">
      <alignment vertical="top" wrapText="1"/>
    </xf>
    <xf numFmtId="9" fontId="0" fillId="6" borderId="0" xfId="3" applyFont="1" applyFill="1"/>
    <xf numFmtId="9" fontId="0" fillId="5" borderId="0" xfId="3" applyFont="1" applyFill="1"/>
    <xf numFmtId="0" fontId="2" fillId="0" borderId="0" xfId="0" applyFont="1"/>
    <xf numFmtId="0" fontId="8" fillId="0" borderId="0" xfId="0" applyFont="1"/>
    <xf numFmtId="0" fontId="2" fillId="0" borderId="0" xfId="0" applyFont="1" applyAlignment="1">
      <alignment horizontal="right"/>
    </xf>
    <xf numFmtId="0" fontId="5" fillId="0" borderId="0" xfId="0" applyFont="1" applyBorder="1"/>
    <xf numFmtId="0" fontId="3" fillId="0" borderId="0" xfId="0" applyFont="1" applyAlignment="1">
      <alignment horizontal="left"/>
    </xf>
    <xf numFmtId="0" fontId="5" fillId="0" borderId="13" xfId="0" applyFont="1" applyBorder="1"/>
    <xf numFmtId="165" fontId="0" fillId="0" borderId="13" xfId="0" applyNumberFormat="1" applyBorder="1"/>
    <xf numFmtId="0" fontId="4" fillId="7" borderId="0" xfId="0" applyFont="1" applyFill="1"/>
    <xf numFmtId="0" fontId="0" fillId="7" borderId="0" xfId="0" applyFill="1"/>
    <xf numFmtId="0" fontId="4" fillId="8" borderId="0" xfId="0" applyFont="1" applyFill="1"/>
    <xf numFmtId="0" fontId="0" fillId="8" borderId="0" xfId="0" applyFill="1"/>
    <xf numFmtId="0" fontId="5" fillId="7" borderId="0" xfId="0" applyFont="1" applyFill="1" applyBorder="1"/>
    <xf numFmtId="0" fontId="5" fillId="7" borderId="7" xfId="0" applyFont="1" applyFill="1" applyBorder="1"/>
    <xf numFmtId="165" fontId="2" fillId="7" borderId="0" xfId="0" applyNumberFormat="1" applyFont="1" applyFill="1" applyBorder="1"/>
    <xf numFmtId="165" fontId="0" fillId="7" borderId="0" xfId="0" applyNumberFormat="1" applyFill="1" applyBorder="1"/>
    <xf numFmtId="0" fontId="8" fillId="7" borderId="0" xfId="0" applyFont="1" applyFill="1"/>
    <xf numFmtId="0" fontId="2" fillId="8" borderId="0" xfId="0" applyFont="1" applyFill="1"/>
    <xf numFmtId="0" fontId="5" fillId="0" borderId="0" xfId="0" applyFont="1" applyFill="1"/>
    <xf numFmtId="0" fontId="3" fillId="0" borderId="0" xfId="0" applyFont="1" applyFill="1" applyAlignment="1">
      <alignment horizontal="left"/>
    </xf>
    <xf numFmtId="165" fontId="0" fillId="0" borderId="0" xfId="0" applyNumberFormat="1" applyFill="1"/>
    <xf numFmtId="0" fontId="0" fillId="0" borderId="0" xfId="0"/>
    <xf numFmtId="0" fontId="0" fillId="0" borderId="0" xfId="0" applyAlignment="1">
      <alignment horizontal="right"/>
    </xf>
    <xf numFmtId="164" fontId="0" fillId="0" borderId="0" xfId="1" applyNumberFormat="1" applyFont="1"/>
    <xf numFmtId="44" fontId="0" fillId="0" borderId="0" xfId="0" applyNumberFormat="1"/>
    <xf numFmtId="0" fontId="4" fillId="0" borderId="7" xfId="0" applyFont="1" applyBorder="1" applyAlignment="1">
      <alignment horizontal="right"/>
    </xf>
    <xf numFmtId="0" fontId="8" fillId="7" borderId="7" xfId="0" applyFont="1" applyFill="1" applyBorder="1"/>
    <xf numFmtId="165" fontId="0" fillId="7" borderId="7" xfId="0" applyNumberFormat="1" applyFill="1" applyBorder="1"/>
    <xf numFmtId="165" fontId="2" fillId="0" borderId="0" xfId="0" applyNumberFormat="1" applyFont="1"/>
    <xf numFmtId="164" fontId="0" fillId="7" borderId="0" xfId="1" applyNumberFormat="1" applyFont="1" applyFill="1" applyBorder="1"/>
    <xf numFmtId="0" fontId="5" fillId="0" borderId="14" xfId="0" applyFont="1" applyBorder="1" applyAlignment="1">
      <alignment horizontal="right"/>
    </xf>
    <xf numFmtId="9" fontId="0" fillId="0" borderId="0" xfId="3" applyFont="1"/>
    <xf numFmtId="0" fontId="10" fillId="0" borderId="0" xfId="0" applyFont="1" applyBorder="1" applyAlignment="1">
      <alignment horizontal="left" vertical="top"/>
    </xf>
    <xf numFmtId="0" fontId="12" fillId="0" borderId="0" xfId="0" applyFont="1" applyAlignment="1">
      <alignment horizontal="left" vertical="top"/>
    </xf>
    <xf numFmtId="168" fontId="13" fillId="0" borderId="0" xfId="3" applyNumberFormat="1" applyFont="1" applyAlignment="1">
      <alignment vertical="top"/>
    </xf>
    <xf numFmtId="0" fontId="17" fillId="0" borderId="0" xfId="0" applyFont="1" applyAlignment="1">
      <alignment vertical="top"/>
    </xf>
    <xf numFmtId="0" fontId="17" fillId="0" borderId="9" xfId="0" applyFont="1" applyBorder="1" applyAlignment="1">
      <alignment vertical="top"/>
    </xf>
    <xf numFmtId="0" fontId="17" fillId="4" borderId="3" xfId="0" applyFont="1" applyFill="1" applyBorder="1" applyAlignment="1">
      <alignment horizontal="center" vertical="top"/>
    </xf>
    <xf numFmtId="0" fontId="17" fillId="0" borderId="9" xfId="0" applyFont="1" applyFill="1" applyBorder="1" applyAlignment="1">
      <alignment horizontal="left" vertical="top"/>
    </xf>
    <xf numFmtId="164" fontId="17" fillId="2" borderId="1" xfId="1" applyNumberFormat="1" applyFont="1" applyFill="1" applyBorder="1" applyAlignment="1">
      <alignment vertical="top"/>
    </xf>
    <xf numFmtId="0" fontId="17" fillId="0" borderId="0" xfId="0" applyFont="1" applyFill="1" applyBorder="1" applyAlignment="1">
      <alignment vertical="top" wrapText="1"/>
    </xf>
    <xf numFmtId="165" fontId="17" fillId="0" borderId="0" xfId="2" applyNumberFormat="1" applyFont="1" applyAlignment="1">
      <alignment vertical="top"/>
    </xf>
    <xf numFmtId="9" fontId="17" fillId="0" borderId="0" xfId="3" applyFont="1" applyAlignment="1">
      <alignment vertical="top"/>
    </xf>
    <xf numFmtId="164" fontId="17" fillId="0" borderId="0" xfId="1" applyNumberFormat="1" applyFont="1" applyAlignment="1">
      <alignment vertical="top"/>
    </xf>
    <xf numFmtId="164" fontId="17" fillId="0" borderId="0" xfId="1" applyNumberFormat="1" applyFont="1" applyFill="1" applyBorder="1" applyAlignment="1">
      <alignment vertical="top"/>
    </xf>
    <xf numFmtId="164" fontId="17" fillId="0" borderId="0" xfId="0" applyNumberFormat="1" applyFont="1" applyAlignment="1">
      <alignment vertical="top"/>
    </xf>
    <xf numFmtId="0" fontId="16" fillId="0" borderId="0" xfId="0" applyFont="1" applyBorder="1" applyAlignment="1">
      <alignment vertical="top"/>
    </xf>
    <xf numFmtId="0" fontId="17" fillId="0" borderId="0" xfId="0" applyFont="1" applyAlignment="1">
      <alignment horizontal="right" vertical="top"/>
    </xf>
    <xf numFmtId="0" fontId="17" fillId="0" borderId="0" xfId="0" applyFont="1" applyBorder="1" applyAlignment="1">
      <alignment vertical="top"/>
    </xf>
    <xf numFmtId="166" fontId="17" fillId="0" borderId="0" xfId="0" applyNumberFormat="1" applyFont="1" applyAlignment="1">
      <alignment vertical="top"/>
    </xf>
    <xf numFmtId="0" fontId="17" fillId="0" borderId="0" xfId="0" applyFont="1" applyFill="1" applyAlignment="1">
      <alignment horizontal="right" vertical="top"/>
    </xf>
    <xf numFmtId="9" fontId="17" fillId="0" borderId="0" xfId="3" applyNumberFormat="1" applyFont="1" applyAlignment="1">
      <alignment vertical="top"/>
    </xf>
    <xf numFmtId="9" fontId="16" fillId="0" borderId="0" xfId="3" applyNumberFormat="1" applyFont="1" applyAlignment="1">
      <alignment vertical="top"/>
    </xf>
    <xf numFmtId="0" fontId="18" fillId="0" borderId="0" xfId="0" applyFont="1" applyAlignment="1">
      <alignment horizontal="right" vertical="top"/>
    </xf>
    <xf numFmtId="9" fontId="18" fillId="0" borderId="0" xfId="3" applyFont="1" applyAlignment="1">
      <alignment vertical="top"/>
    </xf>
    <xf numFmtId="165" fontId="17" fillId="0" borderId="0" xfId="0" applyNumberFormat="1" applyFont="1" applyAlignment="1">
      <alignment vertical="top"/>
    </xf>
    <xf numFmtId="0" fontId="16" fillId="0" borderId="0" xfId="0" applyFont="1" applyFill="1" applyBorder="1" applyAlignment="1">
      <alignment vertical="top"/>
    </xf>
    <xf numFmtId="9" fontId="16" fillId="0" borderId="0" xfId="3" applyFont="1" applyAlignment="1">
      <alignment vertical="top"/>
    </xf>
    <xf numFmtId="9" fontId="16" fillId="0" borderId="0" xfId="3" applyFont="1" applyAlignment="1">
      <alignment horizontal="right" vertical="top"/>
    </xf>
    <xf numFmtId="0" fontId="17" fillId="0" borderId="0" xfId="0" applyFont="1" applyFill="1" applyBorder="1" applyAlignment="1">
      <alignment vertical="top"/>
    </xf>
    <xf numFmtId="0" fontId="18" fillId="0" borderId="0" xfId="0" applyFont="1" applyFill="1" applyAlignment="1">
      <alignment horizontal="right" vertical="top"/>
    </xf>
    <xf numFmtId="0" fontId="18" fillId="0" borderId="0" xfId="0" applyFont="1" applyFill="1" applyBorder="1" applyAlignment="1">
      <alignment horizontal="right" vertical="top"/>
    </xf>
    <xf numFmtId="0" fontId="17" fillId="0" borderId="0" xfId="0" applyFont="1" applyFill="1" applyAlignment="1">
      <alignment vertical="top"/>
    </xf>
    <xf numFmtId="0" fontId="16" fillId="0" borderId="0" xfId="0" applyFont="1" applyBorder="1" applyAlignment="1">
      <alignment horizontal="left" vertical="top"/>
    </xf>
    <xf numFmtId="168" fontId="17" fillId="0" borderId="0" xfId="0" applyNumberFormat="1" applyFont="1" applyAlignment="1">
      <alignment vertical="top"/>
    </xf>
    <xf numFmtId="0" fontId="17" fillId="0" borderId="0" xfId="0" applyFont="1" applyBorder="1" applyAlignment="1">
      <alignment horizontal="left" vertical="top"/>
    </xf>
    <xf numFmtId="0" fontId="18" fillId="0" borderId="0" xfId="0" applyFont="1" applyBorder="1" applyAlignment="1">
      <alignment horizontal="right" vertical="top"/>
    </xf>
    <xf numFmtId="0" fontId="17" fillId="0" borderId="0" xfId="0" applyFont="1" applyAlignment="1">
      <alignment horizontal="left" vertical="top"/>
    </xf>
    <xf numFmtId="43" fontId="17" fillId="0" borderId="0" xfId="0" applyNumberFormat="1" applyFont="1" applyAlignment="1">
      <alignment vertical="top"/>
    </xf>
    <xf numFmtId="0" fontId="19" fillId="0" borderId="0" xfId="0" applyFont="1" applyBorder="1" applyAlignment="1">
      <alignment vertical="top"/>
    </xf>
    <xf numFmtId="166" fontId="17" fillId="0" borderId="0" xfId="0" applyNumberFormat="1" applyFont="1" applyBorder="1" applyAlignment="1">
      <alignment vertical="top"/>
    </xf>
    <xf numFmtId="166" fontId="17" fillId="2" borderId="3" xfId="2" applyNumberFormat="1" applyFont="1" applyFill="1" applyBorder="1" applyAlignment="1">
      <alignment horizontal="center" vertical="top"/>
    </xf>
    <xf numFmtId="9" fontId="17" fillId="2" borderId="3" xfId="3" applyFont="1" applyFill="1" applyBorder="1" applyAlignment="1">
      <alignment horizontal="center" vertical="top"/>
    </xf>
    <xf numFmtId="37" fontId="17" fillId="2" borderId="3" xfId="1" applyNumberFormat="1" applyFont="1" applyFill="1" applyBorder="1" applyAlignment="1">
      <alignment horizontal="center" vertical="top"/>
    </xf>
    <xf numFmtId="9" fontId="17" fillId="2" borderId="1" xfId="3" applyFont="1" applyFill="1" applyBorder="1" applyAlignment="1">
      <alignment horizontal="center" vertical="top"/>
    </xf>
    <xf numFmtId="9" fontId="16" fillId="2" borderId="1" xfId="3" applyFont="1" applyFill="1" applyBorder="1" applyAlignment="1">
      <alignment horizontal="center" vertical="top"/>
    </xf>
    <xf numFmtId="9" fontId="17" fillId="0" borderId="1" xfId="3" applyNumberFormat="1" applyFont="1" applyFill="1" applyBorder="1" applyAlignment="1" applyProtection="1">
      <alignment horizontal="center" vertical="top"/>
    </xf>
    <xf numFmtId="168" fontId="17" fillId="2" borderId="1" xfId="3" applyNumberFormat="1" applyFont="1" applyFill="1" applyBorder="1" applyAlignment="1">
      <alignment horizontal="center" vertical="top"/>
    </xf>
    <xf numFmtId="164" fontId="17" fillId="2" borderId="1" xfId="1" applyNumberFormat="1" applyFont="1" applyFill="1" applyBorder="1" applyAlignment="1">
      <alignment horizontal="center" vertical="top"/>
    </xf>
    <xf numFmtId="9" fontId="17" fillId="2" borderId="1" xfId="1" applyNumberFormat="1" applyFont="1" applyFill="1" applyBorder="1" applyAlignment="1">
      <alignment horizontal="center" vertical="top"/>
    </xf>
    <xf numFmtId="49" fontId="17" fillId="2" borderId="1" xfId="1" applyNumberFormat="1" applyFont="1" applyFill="1" applyBorder="1" applyAlignment="1">
      <alignment horizontal="center" vertical="top"/>
    </xf>
    <xf numFmtId="9" fontId="16" fillId="2" borderId="1" xfId="3" applyNumberFormat="1" applyFont="1" applyFill="1" applyBorder="1" applyAlignment="1">
      <alignment horizontal="center" vertical="top"/>
    </xf>
    <xf numFmtId="165" fontId="19" fillId="3" borderId="1" xfId="0" applyNumberFormat="1" applyFont="1" applyFill="1" applyBorder="1" applyAlignment="1">
      <alignment horizontal="center" vertical="top"/>
    </xf>
    <xf numFmtId="0" fontId="17" fillId="0" borderId="5" xfId="0" applyFont="1" applyBorder="1" applyAlignment="1">
      <alignment vertical="top"/>
    </xf>
    <xf numFmtId="0" fontId="16" fillId="0" borderId="7" xfId="0" applyFont="1" applyBorder="1" applyAlignment="1">
      <alignment vertical="top"/>
    </xf>
    <xf numFmtId="2" fontId="17" fillId="0" borderId="0" xfId="0" applyNumberFormat="1" applyFont="1" applyBorder="1" applyAlignment="1">
      <alignment vertical="top"/>
    </xf>
    <xf numFmtId="0" fontId="16" fillId="0" borderId="7" xfId="0" applyFont="1" applyBorder="1" applyAlignment="1">
      <alignment horizontal="left" vertical="top"/>
    </xf>
    <xf numFmtId="0" fontId="17" fillId="0" borderId="7" xfId="0" applyFont="1" applyBorder="1" applyAlignment="1">
      <alignment vertical="top"/>
    </xf>
    <xf numFmtId="9" fontId="17" fillId="0" borderId="3" xfId="3" applyNumberFormat="1" applyFont="1" applyFill="1" applyBorder="1" applyAlignment="1" applyProtection="1">
      <alignment horizontal="center" vertical="top"/>
    </xf>
    <xf numFmtId="0" fontId="17" fillId="0" borderId="0" xfId="0" applyFont="1" applyFill="1" applyBorder="1" applyAlignment="1">
      <alignment horizontal="left" vertical="top"/>
    </xf>
    <xf numFmtId="164" fontId="19" fillId="0" borderId="0" xfId="0" applyNumberFormat="1" applyFont="1" applyBorder="1" applyAlignment="1">
      <alignment horizontal="left" vertical="top"/>
    </xf>
    <xf numFmtId="0" fontId="19" fillId="0" borderId="0" xfId="0" applyFont="1" applyFill="1" applyBorder="1" applyAlignment="1">
      <alignment horizontal="left" vertical="top"/>
    </xf>
    <xf numFmtId="2" fontId="17" fillId="0" borderId="5" xfId="0" applyNumberFormat="1" applyFont="1" applyBorder="1" applyAlignment="1">
      <alignment vertical="top"/>
    </xf>
    <xf numFmtId="0" fontId="17" fillId="0" borderId="10" xfId="0" applyFont="1" applyBorder="1" applyAlignment="1">
      <alignment vertical="top"/>
    </xf>
    <xf numFmtId="9" fontId="17" fillId="2" borderId="15" xfId="3" applyFont="1" applyFill="1" applyBorder="1" applyAlignment="1">
      <alignment horizontal="center" vertical="top"/>
    </xf>
    <xf numFmtId="0" fontId="20" fillId="0" borderId="0" xfId="0" applyNumberFormat="1" applyFont="1" applyAlignment="1">
      <alignment horizontal="left" vertical="top"/>
    </xf>
    <xf numFmtId="0" fontId="21" fillId="0" borderId="0" xfId="0" applyFont="1" applyAlignment="1">
      <alignment vertical="top"/>
    </xf>
    <xf numFmtId="0" fontId="16" fillId="8" borderId="0" xfId="0" applyFont="1" applyFill="1" applyBorder="1" applyAlignment="1">
      <alignment vertical="top"/>
    </xf>
    <xf numFmtId="0" fontId="17" fillId="8" borderId="0" xfId="0" applyFont="1" applyFill="1" applyAlignment="1">
      <alignment vertical="top"/>
    </xf>
    <xf numFmtId="0" fontId="17" fillId="7" borderId="10" xfId="0" applyFont="1" applyFill="1" applyBorder="1" applyAlignment="1">
      <alignment vertical="top"/>
    </xf>
    <xf numFmtId="0" fontId="16" fillId="0" borderId="0" xfId="0" applyFont="1" applyAlignment="1">
      <alignment horizontal="left" vertical="top"/>
    </xf>
    <xf numFmtId="0" fontId="17" fillId="7" borderId="0" xfId="0" applyFont="1" applyFill="1" applyAlignment="1">
      <alignment vertical="top"/>
    </xf>
    <xf numFmtId="0" fontId="18" fillId="7" borderId="0" xfId="0" applyFont="1" applyFill="1" applyAlignment="1">
      <alignment vertical="top"/>
    </xf>
    <xf numFmtId="167" fontId="17" fillId="0" borderId="0" xfId="0" applyNumberFormat="1" applyFont="1" applyAlignment="1">
      <alignment vertical="top"/>
    </xf>
    <xf numFmtId="9" fontId="17" fillId="7" borderId="0" xfId="0" applyNumberFormat="1" applyFont="1" applyFill="1" applyAlignment="1">
      <alignment vertical="top"/>
    </xf>
    <xf numFmtId="0" fontId="16" fillId="0" borderId="10" xfId="0" applyFont="1" applyBorder="1" applyAlignment="1">
      <alignment horizontal="right" vertical="top"/>
    </xf>
    <xf numFmtId="0" fontId="16" fillId="7" borderId="10" xfId="0" applyFont="1" applyFill="1" applyBorder="1" applyAlignment="1">
      <alignment horizontal="right" vertical="top"/>
    </xf>
    <xf numFmtId="0" fontId="16" fillId="0" borderId="0" xfId="0" applyFont="1" applyAlignment="1">
      <alignment vertical="top"/>
    </xf>
    <xf numFmtId="0" fontId="16" fillId="7" borderId="0" xfId="0" applyFont="1" applyFill="1" applyAlignment="1">
      <alignment vertical="top"/>
    </xf>
    <xf numFmtId="165" fontId="17" fillId="7" borderId="0" xfId="2" applyNumberFormat="1" applyFont="1" applyFill="1" applyAlignment="1">
      <alignment vertical="top"/>
    </xf>
    <xf numFmtId="0" fontId="17" fillId="7" borderId="0" xfId="0" applyFont="1" applyFill="1" applyAlignment="1">
      <alignment horizontal="right" vertical="top"/>
    </xf>
    <xf numFmtId="0" fontId="17" fillId="0" borderId="0" xfId="0" applyFont="1" applyBorder="1" applyAlignment="1">
      <alignment horizontal="right" vertical="top"/>
    </xf>
    <xf numFmtId="0" fontId="16" fillId="0" borderId="14" xfId="0" applyFont="1" applyBorder="1" applyAlignment="1">
      <alignment horizontal="right" vertical="top"/>
    </xf>
    <xf numFmtId="0" fontId="16" fillId="7" borderId="14" xfId="0" applyFont="1" applyFill="1" applyBorder="1" applyAlignment="1">
      <alignment horizontal="right" vertical="top"/>
    </xf>
    <xf numFmtId="165" fontId="16" fillId="0" borderId="14" xfId="3" applyNumberFormat="1" applyFont="1" applyBorder="1" applyAlignment="1">
      <alignment vertical="top"/>
    </xf>
    <xf numFmtId="0" fontId="17" fillId="7" borderId="14" xfId="0" applyFont="1" applyFill="1" applyBorder="1" applyAlignment="1">
      <alignment vertical="top"/>
    </xf>
    <xf numFmtId="0" fontId="16" fillId="0" borderId="14" xfId="0" applyFont="1" applyBorder="1" applyAlignment="1">
      <alignment vertical="top"/>
    </xf>
    <xf numFmtId="0" fontId="16" fillId="7" borderId="14" xfId="0" applyFont="1" applyFill="1" applyBorder="1" applyAlignment="1">
      <alignment vertical="top"/>
    </xf>
    <xf numFmtId="165" fontId="16" fillId="7" borderId="14" xfId="0" applyNumberFormat="1" applyFont="1" applyFill="1" applyBorder="1" applyAlignment="1">
      <alignment vertical="top"/>
    </xf>
    <xf numFmtId="0" fontId="16" fillId="7" borderId="0" xfId="0" applyFont="1" applyFill="1" applyBorder="1" applyAlignment="1">
      <alignment vertical="top"/>
    </xf>
    <xf numFmtId="165" fontId="16" fillId="0" borderId="0" xfId="3" applyNumberFormat="1" applyFont="1" applyBorder="1" applyAlignment="1">
      <alignment vertical="top"/>
    </xf>
    <xf numFmtId="165" fontId="16" fillId="7" borderId="0" xfId="0" applyNumberFormat="1" applyFont="1" applyFill="1" applyBorder="1" applyAlignment="1">
      <alignment vertical="top"/>
    </xf>
    <xf numFmtId="9" fontId="16" fillId="0" borderId="0" xfId="3" applyFont="1" applyBorder="1" applyAlignment="1">
      <alignment vertical="top"/>
    </xf>
    <xf numFmtId="0" fontId="16" fillId="8" borderId="0" xfId="0" applyFont="1" applyFill="1" applyAlignment="1">
      <alignment vertical="top"/>
    </xf>
    <xf numFmtId="0" fontId="16" fillId="0" borderId="10" xfId="0" applyFont="1" applyBorder="1" applyAlignment="1">
      <alignment vertical="top"/>
    </xf>
    <xf numFmtId="0" fontId="16" fillId="7" borderId="10" xfId="0" applyFont="1" applyFill="1" applyBorder="1" applyAlignment="1">
      <alignment vertical="top"/>
    </xf>
    <xf numFmtId="165" fontId="17" fillId="7" borderId="0" xfId="0" applyNumberFormat="1" applyFont="1" applyFill="1" applyAlignment="1">
      <alignment vertical="top"/>
    </xf>
    <xf numFmtId="6" fontId="19" fillId="0" borderId="0" xfId="0" applyNumberFormat="1" applyFont="1" applyAlignment="1">
      <alignment horizontal="left" vertical="top"/>
    </xf>
    <xf numFmtId="0" fontId="18" fillId="7" borderId="0" xfId="0" applyFont="1" applyFill="1" applyAlignment="1">
      <alignment horizontal="left" vertical="top"/>
    </xf>
    <xf numFmtId="9" fontId="17" fillId="0" borderId="0" xfId="3" applyFont="1" applyFill="1" applyAlignment="1">
      <alignment vertical="top"/>
    </xf>
    <xf numFmtId="6" fontId="17" fillId="0" borderId="0" xfId="0" applyNumberFormat="1" applyFont="1" applyAlignment="1">
      <alignment vertical="top"/>
    </xf>
    <xf numFmtId="0" fontId="18" fillId="7" borderId="10" xfId="0" applyFont="1" applyFill="1" applyBorder="1" applyAlignment="1">
      <alignment horizontal="left" vertical="top"/>
    </xf>
    <xf numFmtId="165" fontId="16" fillId="7" borderId="10" xfId="2" applyNumberFormat="1" applyFont="1" applyFill="1" applyBorder="1" applyAlignment="1">
      <alignment vertical="top"/>
    </xf>
    <xf numFmtId="165" fontId="17" fillId="7" borderId="14" xfId="0" applyNumberFormat="1" applyFont="1" applyFill="1" applyBorder="1" applyAlignment="1">
      <alignment vertical="top"/>
    </xf>
    <xf numFmtId="165" fontId="17" fillId="0" borderId="0" xfId="0" applyNumberFormat="1" applyFont="1" applyBorder="1" applyAlignment="1">
      <alignment vertical="top"/>
    </xf>
    <xf numFmtId="165" fontId="17" fillId="7" borderId="0" xfId="0" applyNumberFormat="1" applyFont="1" applyFill="1" applyBorder="1" applyAlignment="1">
      <alignment vertical="top"/>
    </xf>
    <xf numFmtId="0" fontId="16" fillId="0" borderId="14" xfId="0" applyFont="1" applyBorder="1" applyAlignment="1">
      <alignment horizontal="left" vertical="top"/>
    </xf>
    <xf numFmtId="0" fontId="16" fillId="7" borderId="14" xfId="0" applyFont="1" applyFill="1" applyBorder="1" applyAlignment="1">
      <alignment horizontal="left" vertical="top"/>
    </xf>
    <xf numFmtId="165" fontId="16" fillId="0" borderId="0" xfId="0" applyNumberFormat="1" applyFont="1" applyBorder="1" applyAlignment="1">
      <alignment vertical="top"/>
    </xf>
    <xf numFmtId="164" fontId="17" fillId="0" borderId="0" xfId="1" applyNumberFormat="1" applyFont="1" applyAlignment="1">
      <alignment horizontal="center" vertical="top"/>
    </xf>
    <xf numFmtId="9" fontId="17" fillId="0" borderId="0" xfId="3" applyFont="1" applyAlignment="1">
      <alignment horizontal="center" vertical="top"/>
    </xf>
    <xf numFmtId="9" fontId="17" fillId="0" borderId="0" xfId="3" applyNumberFormat="1" applyFont="1" applyAlignment="1">
      <alignment horizontal="center" vertical="top"/>
    </xf>
    <xf numFmtId="164" fontId="17" fillId="0" borderId="0" xfId="3" applyNumberFormat="1" applyFont="1" applyAlignment="1">
      <alignment horizontal="center" vertical="top"/>
    </xf>
    <xf numFmtId="165" fontId="16" fillId="0" borderId="10" xfId="3" applyNumberFormat="1" applyFont="1" applyBorder="1" applyAlignment="1">
      <alignment horizontal="center" vertical="top"/>
    </xf>
    <xf numFmtId="0" fontId="21" fillId="0" borderId="10" xfId="0" applyFont="1" applyBorder="1" applyAlignment="1">
      <alignment horizontal="center" vertical="top"/>
    </xf>
    <xf numFmtId="0" fontId="21" fillId="0" borderId="0" xfId="0" applyFont="1" applyAlignment="1">
      <alignment horizontal="center" vertical="top"/>
    </xf>
    <xf numFmtId="164" fontId="17" fillId="0" borderId="0" xfId="0" applyNumberFormat="1" applyFont="1" applyAlignment="1">
      <alignment horizontal="center" vertical="top"/>
    </xf>
    <xf numFmtId="10" fontId="17" fillId="0" borderId="0" xfId="0" applyNumberFormat="1" applyFont="1" applyAlignment="1">
      <alignment horizontal="center" vertical="top"/>
    </xf>
    <xf numFmtId="165" fontId="17" fillId="0" borderId="0" xfId="2" applyNumberFormat="1" applyFont="1" applyAlignment="1">
      <alignment horizontal="center" vertical="top"/>
    </xf>
    <xf numFmtId="9" fontId="17" fillId="0" borderId="0" xfId="0" applyNumberFormat="1" applyFont="1" applyAlignment="1">
      <alignment horizontal="center" vertical="top"/>
    </xf>
    <xf numFmtId="168" fontId="17" fillId="0" borderId="0" xfId="0" applyNumberFormat="1" applyFont="1" applyAlignment="1">
      <alignment horizontal="center" vertical="top"/>
    </xf>
    <xf numFmtId="43" fontId="17" fillId="0" borderId="0" xfId="1" applyFont="1" applyAlignment="1">
      <alignment horizontal="center" vertical="top"/>
    </xf>
    <xf numFmtId="165" fontId="16" fillId="0" borderId="14" xfId="0" applyNumberFormat="1" applyFont="1" applyBorder="1" applyAlignment="1">
      <alignment horizontal="center" vertical="top"/>
    </xf>
    <xf numFmtId="165" fontId="16" fillId="7" borderId="14" xfId="0" applyNumberFormat="1" applyFont="1" applyFill="1" applyBorder="1" applyAlignment="1">
      <alignment horizontal="center" vertical="top"/>
    </xf>
    <xf numFmtId="165" fontId="17" fillId="0" borderId="0" xfId="0" applyNumberFormat="1" applyFont="1" applyAlignment="1">
      <alignment horizontal="center" vertical="top"/>
    </xf>
    <xf numFmtId="164" fontId="17" fillId="0" borderId="0" xfId="1" applyNumberFormat="1" applyFont="1" applyFill="1" applyAlignment="1">
      <alignment horizontal="center" vertical="top"/>
    </xf>
    <xf numFmtId="9" fontId="17" fillId="0" borderId="0" xfId="3" applyNumberFormat="1" applyFont="1" applyFill="1" applyAlignment="1">
      <alignment horizontal="center" vertical="top"/>
    </xf>
    <xf numFmtId="165" fontId="17" fillId="0" borderId="0" xfId="2" applyNumberFormat="1" applyFont="1" applyFill="1" applyAlignment="1">
      <alignment horizontal="center" vertical="top"/>
    </xf>
    <xf numFmtId="165" fontId="16" fillId="0" borderId="10" xfId="0" applyNumberFormat="1" applyFont="1" applyFill="1" applyBorder="1" applyAlignment="1">
      <alignment horizontal="center" vertical="top"/>
    </xf>
    <xf numFmtId="165" fontId="17" fillId="0" borderId="14" xfId="0" applyNumberFormat="1" applyFont="1" applyBorder="1" applyAlignment="1">
      <alignment horizontal="center" vertical="top"/>
    </xf>
    <xf numFmtId="9" fontId="17" fillId="0" borderId="0" xfId="3" applyFont="1" applyFill="1" applyAlignment="1">
      <alignment horizontal="center" vertical="top"/>
    </xf>
    <xf numFmtId="0" fontId="16" fillId="7" borderId="14" xfId="0" applyFont="1" applyFill="1" applyBorder="1" applyAlignment="1">
      <alignment horizontal="center" vertical="top"/>
    </xf>
    <xf numFmtId="0" fontId="17" fillId="0" borderId="0" xfId="0" applyFont="1" applyFill="1" applyBorder="1" applyAlignment="1">
      <alignment horizontal="right" vertical="top"/>
    </xf>
    <xf numFmtId="0" fontId="17" fillId="0" borderId="0" xfId="0" applyFont="1" applyFill="1" applyAlignment="1">
      <alignment horizontal="right" vertical="top" wrapText="1"/>
    </xf>
    <xf numFmtId="0" fontId="17" fillId="0" borderId="0" xfId="0" applyFont="1" applyFill="1" applyBorder="1" applyAlignment="1">
      <alignment horizontal="right" vertical="top" wrapText="1"/>
    </xf>
    <xf numFmtId="0" fontId="18" fillId="7" borderId="0" xfId="0" applyFont="1" applyFill="1" applyAlignment="1">
      <alignment horizontal="right" vertical="top"/>
    </xf>
    <xf numFmtId="0" fontId="16" fillId="7" borderId="0" xfId="0" applyFont="1" applyFill="1" applyBorder="1" applyAlignment="1">
      <alignment horizontal="left" vertical="top"/>
    </xf>
    <xf numFmtId="0" fontId="16" fillId="0" borderId="10" xfId="0" applyFont="1" applyBorder="1" applyAlignment="1">
      <alignment horizontal="left" vertical="top"/>
    </xf>
    <xf numFmtId="0" fontId="16" fillId="7" borderId="10" xfId="0" applyFont="1" applyFill="1" applyBorder="1" applyAlignment="1">
      <alignment horizontal="left" vertical="top"/>
    </xf>
    <xf numFmtId="165" fontId="16" fillId="0" borderId="10" xfId="0" applyNumberFormat="1" applyFont="1" applyBorder="1" applyAlignment="1">
      <alignment vertical="top"/>
    </xf>
    <xf numFmtId="0" fontId="16" fillId="0" borderId="0" xfId="0" applyFont="1" applyBorder="1" applyAlignment="1">
      <alignment horizontal="right" vertical="top"/>
    </xf>
    <xf numFmtId="0" fontId="16" fillId="7" borderId="0" xfId="0" applyFont="1" applyFill="1" applyBorder="1" applyAlignment="1">
      <alignment horizontal="right" vertical="top"/>
    </xf>
    <xf numFmtId="0" fontId="16" fillId="0" borderId="0" xfId="0" applyFont="1" applyFill="1" applyBorder="1" applyAlignment="1">
      <alignment horizontal="right" vertical="top"/>
    </xf>
    <xf numFmtId="0" fontId="17" fillId="0" borderId="0" xfId="0" applyFont="1" applyFill="1" applyAlignment="1">
      <alignment vertical="top" wrapText="1"/>
    </xf>
    <xf numFmtId="0" fontId="17" fillId="7" borderId="10" xfId="0" applyFont="1" applyFill="1" applyBorder="1" applyAlignment="1">
      <alignment horizontal="center" vertical="top"/>
    </xf>
    <xf numFmtId="0" fontId="17" fillId="0" borderId="0" xfId="0" applyFont="1" applyAlignment="1">
      <alignment horizontal="center" vertical="top"/>
    </xf>
    <xf numFmtId="0" fontId="17" fillId="7" borderId="0" xfId="0" applyFont="1" applyFill="1" applyAlignment="1">
      <alignment horizontal="center" vertical="top"/>
    </xf>
    <xf numFmtId="165" fontId="17" fillId="0" borderId="0" xfId="2" applyNumberFormat="1" applyFont="1" applyBorder="1" applyAlignment="1">
      <alignment horizontal="center" vertical="top"/>
    </xf>
    <xf numFmtId="165" fontId="17" fillId="7" borderId="0" xfId="2" applyNumberFormat="1" applyFont="1" applyFill="1" applyBorder="1" applyAlignment="1">
      <alignment horizontal="center" vertical="top"/>
    </xf>
    <xf numFmtId="165" fontId="16" fillId="0" borderId="10" xfId="0" applyNumberFormat="1" applyFont="1" applyBorder="1" applyAlignment="1">
      <alignment horizontal="center" vertical="top"/>
    </xf>
    <xf numFmtId="165" fontId="16" fillId="7" borderId="10" xfId="0" applyNumberFormat="1" applyFont="1" applyFill="1" applyBorder="1" applyAlignment="1">
      <alignment horizontal="center" vertical="top"/>
    </xf>
    <xf numFmtId="165" fontId="17" fillId="7" borderId="0" xfId="2" applyNumberFormat="1" applyFont="1" applyFill="1" applyAlignment="1">
      <alignment horizontal="center" vertical="top"/>
    </xf>
    <xf numFmtId="165" fontId="16" fillId="0" borderId="10" xfId="2" applyNumberFormat="1" applyFont="1" applyBorder="1" applyAlignment="1">
      <alignment horizontal="center" vertical="top"/>
    </xf>
    <xf numFmtId="164" fontId="17" fillId="7" borderId="0" xfId="1" applyNumberFormat="1" applyFont="1" applyFill="1" applyAlignment="1">
      <alignment horizontal="center" vertical="top"/>
    </xf>
    <xf numFmtId="9" fontId="17" fillId="7" borderId="0" xfId="3" applyFont="1" applyFill="1" applyAlignment="1">
      <alignment horizontal="center" vertical="top"/>
    </xf>
    <xf numFmtId="165" fontId="17" fillId="0" borderId="0" xfId="2" applyNumberFormat="1" applyFont="1" applyFill="1" applyBorder="1" applyAlignment="1">
      <alignment horizontal="center" vertical="top"/>
    </xf>
    <xf numFmtId="165" fontId="16" fillId="0" borderId="0" xfId="0" applyNumberFormat="1" applyFont="1" applyBorder="1" applyAlignment="1">
      <alignment horizontal="center" vertical="top"/>
    </xf>
    <xf numFmtId="165" fontId="16" fillId="7" borderId="0" xfId="0" applyNumberFormat="1" applyFont="1" applyFill="1" applyBorder="1" applyAlignment="1">
      <alignment horizontal="center" vertical="top"/>
    </xf>
    <xf numFmtId="9" fontId="17" fillId="0" borderId="0" xfId="3" applyFont="1" applyBorder="1" applyAlignment="1">
      <alignment horizontal="center" vertical="top"/>
    </xf>
    <xf numFmtId="165" fontId="17" fillId="0" borderId="0" xfId="0" applyNumberFormat="1" applyFont="1" applyBorder="1" applyAlignment="1">
      <alignment horizontal="center" vertical="top"/>
    </xf>
    <xf numFmtId="165" fontId="17" fillId="7" borderId="0" xfId="0" applyNumberFormat="1" applyFont="1" applyFill="1" applyBorder="1" applyAlignment="1">
      <alignment horizontal="center" vertical="top"/>
    </xf>
    <xf numFmtId="165" fontId="17" fillId="7" borderId="10" xfId="2" applyNumberFormat="1" applyFont="1" applyFill="1" applyBorder="1" applyAlignment="1">
      <alignment horizontal="center" vertical="top"/>
    </xf>
    <xf numFmtId="0" fontId="15" fillId="0" borderId="0" xfId="0" applyFont="1" applyFill="1" applyAlignment="1">
      <alignment vertical="top"/>
    </xf>
    <xf numFmtId="166" fontId="16" fillId="0" borderId="0" xfId="0" applyNumberFormat="1" applyFont="1" applyFill="1" applyAlignment="1">
      <alignment vertical="top"/>
    </xf>
    <xf numFmtId="0" fontId="16" fillId="0" borderId="0" xfId="0" applyFont="1" applyFill="1" applyAlignment="1">
      <alignment vertical="top"/>
    </xf>
    <xf numFmtId="44" fontId="17" fillId="0" borderId="0" xfId="0" applyNumberFormat="1" applyFont="1" applyAlignment="1">
      <alignment vertical="top"/>
    </xf>
    <xf numFmtId="0" fontId="16" fillId="0" borderId="0" xfId="0" applyFont="1" applyFill="1" applyAlignment="1">
      <alignment horizontal="right" vertical="top"/>
    </xf>
    <xf numFmtId="0" fontId="17" fillId="7" borderId="0" xfId="0" applyFont="1" applyFill="1" applyBorder="1" applyAlignment="1">
      <alignment vertical="top"/>
    </xf>
    <xf numFmtId="9" fontId="16" fillId="0" borderId="0" xfId="3" applyFont="1" applyAlignment="1">
      <alignment horizontal="center" vertical="top"/>
    </xf>
    <xf numFmtId="168" fontId="13" fillId="0" borderId="0" xfId="3" applyNumberFormat="1" applyFont="1" applyAlignment="1">
      <alignment horizontal="left" vertical="top" wrapText="1"/>
    </xf>
    <xf numFmtId="168" fontId="13" fillId="0" borderId="0" xfId="3" applyNumberFormat="1" applyFont="1" applyAlignment="1">
      <alignment vertical="top" wrapText="1"/>
    </xf>
    <xf numFmtId="0" fontId="14" fillId="0" borderId="0" xfId="0" applyFont="1" applyFill="1" applyBorder="1" applyAlignment="1">
      <alignment vertical="top"/>
    </xf>
    <xf numFmtId="0" fontId="22" fillId="0" borderId="0" xfId="0" applyFont="1" applyAlignment="1">
      <alignment vertical="top"/>
    </xf>
    <xf numFmtId="0" fontId="12" fillId="0" borderId="0" xfId="0" applyFont="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2" fillId="0" borderId="0" xfId="0" applyFont="1" applyFill="1" applyAlignment="1">
      <alignment vertical="top"/>
    </xf>
    <xf numFmtId="0" fontId="24" fillId="0" borderId="0" xfId="0" applyFont="1" applyFill="1" applyAlignment="1">
      <alignment vertical="top"/>
    </xf>
    <xf numFmtId="0" fontId="18" fillId="0" borderId="0" xfId="0" applyFont="1" applyFill="1" applyAlignment="1">
      <alignment horizontal="right" vertical="top" wrapText="1"/>
    </xf>
    <xf numFmtId="49" fontId="12" fillId="0" borderId="0" xfId="0" applyNumberFormat="1" applyFont="1" applyAlignment="1">
      <alignment horizontal="left" vertical="top"/>
    </xf>
    <xf numFmtId="0" fontId="26" fillId="4" borderId="1" xfId="0" applyFont="1" applyFill="1" applyBorder="1" applyAlignment="1">
      <alignment horizontal="center" vertical="top"/>
    </xf>
    <xf numFmtId="0" fontId="20" fillId="0" borderId="0"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0" xfId="0" applyFont="1" applyAlignment="1">
      <alignment horizontal="left" vertical="top"/>
    </xf>
    <xf numFmtId="0" fontId="26" fillId="0" borderId="0" xfId="0" applyFont="1" applyAlignment="1">
      <alignment vertical="top"/>
    </xf>
    <xf numFmtId="0" fontId="12" fillId="0" borderId="0" xfId="0" applyFont="1" applyFill="1" applyAlignment="1">
      <alignment vertical="top"/>
    </xf>
    <xf numFmtId="0" fontId="27" fillId="0" borderId="0" xfId="0" applyFont="1" applyAlignment="1">
      <alignment horizontal="center" vertical="top"/>
    </xf>
    <xf numFmtId="0" fontId="24" fillId="0" borderId="0" xfId="0" applyFont="1" applyFill="1" applyAlignment="1">
      <alignment horizontal="left" vertical="top" indent="17"/>
    </xf>
    <xf numFmtId="0" fontId="24" fillId="0" borderId="0" xfId="0" applyFont="1" applyAlignment="1">
      <alignment horizontal="left" vertical="top" indent="17"/>
    </xf>
    <xf numFmtId="165" fontId="17" fillId="0" borderId="14" xfId="0" applyNumberFormat="1" applyFont="1" applyBorder="1" applyAlignment="1">
      <alignment horizontal="left" vertical="top" indent="17"/>
    </xf>
    <xf numFmtId="0" fontId="16" fillId="7" borderId="14" xfId="0" applyFont="1" applyFill="1" applyBorder="1" applyAlignment="1">
      <alignment horizontal="left" vertical="top" indent="17"/>
    </xf>
    <xf numFmtId="0" fontId="26" fillId="0" borderId="0" xfId="0" applyFont="1" applyFill="1" applyAlignment="1">
      <alignment horizontal="right" vertical="top" wrapText="1"/>
    </xf>
    <xf numFmtId="168" fontId="13" fillId="0" borderId="0" xfId="3" applyNumberFormat="1" applyFont="1" applyAlignment="1">
      <alignment horizontal="left" vertical="top" wrapText="1" indent="17"/>
    </xf>
    <xf numFmtId="0" fontId="11" fillId="0" borderId="0" xfId="0" applyFont="1" applyBorder="1" applyAlignment="1">
      <alignment horizontal="left" vertical="top"/>
    </xf>
    <xf numFmtId="0" fontId="10" fillId="0" borderId="0" xfId="0" applyNumberFormat="1" applyFont="1" applyAlignment="1">
      <alignment horizontal="left" vertical="top"/>
    </xf>
    <xf numFmtId="0" fontId="15" fillId="9" borderId="0" xfId="0" applyFont="1" applyFill="1" applyAlignment="1">
      <alignment horizontal="left" vertical="top"/>
    </xf>
    <xf numFmtId="0" fontId="20" fillId="8" borderId="0" xfId="0" applyFont="1" applyFill="1" applyAlignment="1">
      <alignment horizontal="center" vertical="top"/>
    </xf>
    <xf numFmtId="0" fontId="16" fillId="8" borderId="0" xfId="0" applyFont="1" applyFill="1" applyBorder="1" applyAlignment="1">
      <alignment horizontal="left" vertical="top"/>
    </xf>
    <xf numFmtId="0" fontId="16" fillId="8" borderId="0" xfId="0" applyFont="1" applyFill="1" applyAlignment="1">
      <alignment horizontal="left" vertical="top"/>
    </xf>
    <xf numFmtId="0" fontId="20" fillId="8" borderId="5" xfId="0" applyFont="1" applyFill="1" applyBorder="1" applyAlignment="1">
      <alignment horizontal="left" vertical="top"/>
    </xf>
    <xf numFmtId="0" fontId="16" fillId="8" borderId="5" xfId="0" applyFont="1" applyFill="1" applyBorder="1" applyAlignment="1">
      <alignment horizontal="left" vertical="top"/>
    </xf>
    <xf numFmtId="0" fontId="5" fillId="8" borderId="0" xfId="0" applyFont="1" applyFill="1" applyAlignment="1">
      <alignment horizontal="center"/>
    </xf>
  </cellXfs>
  <cellStyles count="14">
    <cellStyle name="Comma" xfId="1" builtinId="3"/>
    <cellStyle name="Currency" xfId="2" builtinId="4"/>
    <cellStyle name="Followed Hyperlink" xfId="13"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8" builtinId="8" hidden="1"/>
    <cellStyle name="Hyperlink" xfId="12" builtinId="8" hidden="1"/>
    <cellStyle name="Hyperlink" xfId="10" builtinId="8" hidden="1"/>
    <cellStyle name="Hyperlink" xfId="6" builtinId="8" hidden="1"/>
    <cellStyle name="Hyperlink" xfId="4" builtinId="8" hidden="1"/>
    <cellStyle name="Normal" xfId="0" builtinId="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143403</xdr:colOff>
      <xdr:row>65</xdr:row>
      <xdr:rowOff>94970</xdr:rowOff>
    </xdr:from>
    <xdr:to>
      <xdr:col>0</xdr:col>
      <xdr:colOff>1334028</xdr:colOff>
      <xdr:row>65</xdr:row>
      <xdr:rowOff>285139</xdr:rowOff>
    </xdr:to>
    <xdr:pic>
      <xdr:nvPicPr>
        <xdr:cNvPr id="2" name="Picture 1">
          <a:extLst>
            <a:ext uri="{FF2B5EF4-FFF2-40B4-BE49-F238E27FC236}">
              <a16:creationId xmlns:a16="http://schemas.microsoft.com/office/drawing/2014/main" id="{B55F27FE-4C72-4875-B178-B194EA199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03" y="12706070"/>
          <a:ext cx="1190625" cy="190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135731</xdr:colOff>
      <xdr:row>72</xdr:row>
      <xdr:rowOff>154777</xdr:rowOff>
    </xdr:from>
    <xdr:to>
      <xdr:col>0</xdr:col>
      <xdr:colOff>1326356</xdr:colOff>
      <xdr:row>72</xdr:row>
      <xdr:rowOff>344946</xdr:rowOff>
    </xdr:to>
    <xdr:pic>
      <xdr:nvPicPr>
        <xdr:cNvPr id="2" name="Picture 1">
          <a:extLst>
            <a:ext uri="{FF2B5EF4-FFF2-40B4-BE49-F238E27FC236}">
              <a16:creationId xmlns:a16="http://schemas.microsoft.com/office/drawing/2014/main" id="{BE895380-2340-4CDA-8E8D-A0D78EA914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31" y="15318577"/>
          <a:ext cx="1190625" cy="1901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133350</xdr:colOff>
      <xdr:row>52</xdr:row>
      <xdr:rowOff>161925</xdr:rowOff>
    </xdr:from>
    <xdr:to>
      <xdr:col>0</xdr:col>
      <xdr:colOff>1323975</xdr:colOff>
      <xdr:row>52</xdr:row>
      <xdr:rowOff>352094</xdr:rowOff>
    </xdr:to>
    <xdr:pic>
      <xdr:nvPicPr>
        <xdr:cNvPr id="3" name="Picture 2">
          <a:extLst>
            <a:ext uri="{FF2B5EF4-FFF2-40B4-BE49-F238E27FC236}">
              <a16:creationId xmlns:a16="http://schemas.microsoft.com/office/drawing/2014/main" id="{CC67C80A-322B-4F2D-BA1D-A2F788E2D5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144125"/>
          <a:ext cx="1190625" cy="1901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121443</xdr:colOff>
      <xdr:row>24</xdr:row>
      <xdr:rowOff>164306</xdr:rowOff>
    </xdr:from>
    <xdr:to>
      <xdr:col>0</xdr:col>
      <xdr:colOff>1314449</xdr:colOff>
      <xdr:row>24</xdr:row>
      <xdr:rowOff>354475</xdr:rowOff>
    </xdr:to>
    <xdr:pic>
      <xdr:nvPicPr>
        <xdr:cNvPr id="2" name="Picture 1">
          <a:extLst>
            <a:ext uri="{FF2B5EF4-FFF2-40B4-BE49-F238E27FC236}">
              <a16:creationId xmlns:a16="http://schemas.microsoft.com/office/drawing/2014/main" id="{F5455644-62D4-465E-8328-447525E359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 y="4812506"/>
          <a:ext cx="1193006" cy="1901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123825</xdr:colOff>
      <xdr:row>25</xdr:row>
      <xdr:rowOff>171450</xdr:rowOff>
    </xdr:from>
    <xdr:to>
      <xdr:col>0</xdr:col>
      <xdr:colOff>1314450</xdr:colOff>
      <xdr:row>25</xdr:row>
      <xdr:rowOff>361619</xdr:rowOff>
    </xdr:to>
    <xdr:pic>
      <xdr:nvPicPr>
        <xdr:cNvPr id="4" name="Picture 3">
          <a:extLst>
            <a:ext uri="{FF2B5EF4-FFF2-40B4-BE49-F238E27FC236}">
              <a16:creationId xmlns:a16="http://schemas.microsoft.com/office/drawing/2014/main" id="{D0335F2E-9318-458E-8BFC-72A4303283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5010150"/>
          <a:ext cx="1190625" cy="1901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119063</xdr:colOff>
      <xdr:row>25</xdr:row>
      <xdr:rowOff>166689</xdr:rowOff>
    </xdr:from>
    <xdr:to>
      <xdr:col>0</xdr:col>
      <xdr:colOff>1309688</xdr:colOff>
      <xdr:row>25</xdr:row>
      <xdr:rowOff>356858</xdr:rowOff>
    </xdr:to>
    <xdr:pic>
      <xdr:nvPicPr>
        <xdr:cNvPr id="2" name="Picture 1">
          <a:extLst>
            <a:ext uri="{FF2B5EF4-FFF2-40B4-BE49-F238E27FC236}">
              <a16:creationId xmlns:a16="http://schemas.microsoft.com/office/drawing/2014/main" id="{A383AC1D-8B14-4896-B9B3-3FA1B5080E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5005389"/>
          <a:ext cx="1190625" cy="1901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BB73"/>
  <sheetViews>
    <sheetView tabSelected="1" zoomScaleNormal="100" zoomScalePageLayoutView="125" workbookViewId="0"/>
  </sheetViews>
  <sheetFormatPr defaultColWidth="8.85546875" defaultRowHeight="14.25"/>
  <cols>
    <col min="1" max="1" width="90.7109375" style="245" customWidth="1"/>
    <col min="2" max="4" width="15.7109375" style="245" customWidth="1"/>
    <col min="5" max="5" width="20.7109375" style="245" customWidth="1"/>
    <col min="6" max="37" width="8.85546875" style="245" customWidth="1"/>
    <col min="38" max="16384" width="8.85546875" style="245"/>
  </cols>
  <sheetData>
    <row r="1" spans="1:8" s="242" customFormat="1" ht="15" customHeight="1">
      <c r="A1" s="72" t="s">
        <v>0</v>
      </c>
    </row>
    <row r="2" spans="1:8" s="244" customFormat="1" ht="21" customHeight="1">
      <c r="A2" s="265" t="s">
        <v>1</v>
      </c>
      <c r="B2" s="265"/>
      <c r="C2" s="265"/>
      <c r="D2" s="265"/>
      <c r="E2" s="265"/>
    </row>
    <row r="3" spans="1:8" s="242" customFormat="1" ht="15" customHeight="1">
      <c r="A3" s="250" t="s">
        <v>2</v>
      </c>
      <c r="B3" s="243"/>
      <c r="C3" s="243"/>
      <c r="D3" s="243"/>
      <c r="E3" s="243"/>
    </row>
    <row r="4" spans="1:8" s="242" customFormat="1" ht="15" customHeight="1">
      <c r="A4" s="73" t="s">
        <v>3</v>
      </c>
      <c r="B4" s="243"/>
      <c r="C4" s="243"/>
      <c r="D4" s="243"/>
      <c r="E4" s="243"/>
    </row>
    <row r="5" spans="1:8" s="242" customFormat="1" ht="15" customHeight="1">
      <c r="A5" s="243"/>
    </row>
    <row r="6" spans="1:8" s="242" customFormat="1" ht="15" customHeight="1">
      <c r="A6" s="266" t="s">
        <v>4</v>
      </c>
      <c r="B6" s="266"/>
      <c r="C6" s="266"/>
      <c r="D6" s="266"/>
      <c r="E6" s="266"/>
    </row>
    <row r="7" spans="1:8" s="75" customFormat="1" ht="15" customHeight="1"/>
    <row r="8" spans="1:8" s="75" customFormat="1" ht="15" customHeight="1">
      <c r="A8" s="267" t="s">
        <v>5</v>
      </c>
      <c r="B8" s="267"/>
      <c r="C8" s="267"/>
      <c r="D8" s="267"/>
    </row>
    <row r="9" spans="1:8" s="75" customFormat="1" ht="15" customHeight="1">
      <c r="A9" s="76"/>
      <c r="B9" s="77" t="s">
        <v>6</v>
      </c>
    </row>
    <row r="10" spans="1:8" s="75" customFormat="1" ht="27" customHeight="1">
      <c r="A10" s="78" t="s">
        <v>7</v>
      </c>
      <c r="B10" s="113">
        <v>2000000</v>
      </c>
      <c r="D10" s="79"/>
      <c r="E10" s="80" t="s">
        <v>8</v>
      </c>
      <c r="F10" s="81"/>
      <c r="G10" s="82"/>
      <c r="H10" s="81"/>
    </row>
    <row r="11" spans="1:8" s="75" customFormat="1" ht="15" customHeight="1">
      <c r="A11" s="78" t="s">
        <v>9</v>
      </c>
      <c r="B11" s="111">
        <v>400</v>
      </c>
      <c r="D11" s="83"/>
      <c r="E11" s="84"/>
      <c r="F11" s="81"/>
      <c r="G11" s="82"/>
      <c r="H11" s="81"/>
    </row>
    <row r="12" spans="1:8" s="75" customFormat="1" ht="15" customHeight="1">
      <c r="A12" s="78" t="s">
        <v>10</v>
      </c>
      <c r="B12" s="111">
        <v>100</v>
      </c>
      <c r="D12" s="85"/>
      <c r="E12" s="84"/>
      <c r="F12" s="81"/>
      <c r="G12" s="82"/>
      <c r="H12" s="81"/>
    </row>
    <row r="13" spans="1:8" s="75" customFormat="1" ht="15" customHeight="1">
      <c r="A13" s="78" t="s">
        <v>11</v>
      </c>
      <c r="B13" s="112">
        <v>0.2</v>
      </c>
      <c r="D13" s="85"/>
      <c r="E13" s="85"/>
      <c r="F13" s="83"/>
      <c r="G13" s="82"/>
      <c r="H13" s="81"/>
    </row>
    <row r="14" spans="1:8" s="75" customFormat="1" ht="15" customHeight="1">
      <c r="A14" s="125"/>
      <c r="B14" s="132"/>
      <c r="D14" s="85"/>
      <c r="E14" s="85"/>
      <c r="F14" s="83"/>
      <c r="G14" s="82"/>
      <c r="H14" s="81"/>
    </row>
    <row r="15" spans="1:8" s="75" customFormat="1" ht="15" customHeight="1">
      <c r="A15" s="124" t="s">
        <v>12</v>
      </c>
      <c r="B15" s="88"/>
      <c r="D15" s="85"/>
      <c r="E15" s="85"/>
      <c r="F15" s="81"/>
      <c r="G15" s="82"/>
      <c r="H15" s="81"/>
    </row>
    <row r="16" spans="1:8" s="75" customFormat="1" ht="15" customHeight="1">
      <c r="A16" s="76" t="s">
        <v>13</v>
      </c>
      <c r="B16" s="114">
        <v>0.7</v>
      </c>
      <c r="E16" s="87"/>
      <c r="F16" s="83"/>
      <c r="G16" s="82"/>
      <c r="H16" s="81"/>
    </row>
    <row r="17" spans="1:8" s="75" customFormat="1" ht="15" customHeight="1">
      <c r="A17" s="88"/>
      <c r="B17" s="89"/>
      <c r="E17" s="90"/>
      <c r="F17" s="91"/>
      <c r="G17" s="92"/>
      <c r="H17" s="81"/>
    </row>
    <row r="18" spans="1:8" s="75" customFormat="1" ht="15" customHeight="1">
      <c r="A18" s="88"/>
      <c r="B18" s="251" t="s">
        <v>14</v>
      </c>
      <c r="C18" s="251" t="s">
        <v>15</v>
      </c>
      <c r="E18" s="93"/>
      <c r="G18" s="94"/>
      <c r="H18" s="95"/>
    </row>
    <row r="19" spans="1:8" s="75" customFormat="1" ht="15" customHeight="1">
      <c r="A19" s="96" t="s">
        <v>16</v>
      </c>
      <c r="B19" s="115">
        <v>0.8</v>
      </c>
      <c r="C19" s="115">
        <v>0.85</v>
      </c>
      <c r="E19" s="90"/>
      <c r="F19" s="97"/>
      <c r="G19" s="98"/>
    </row>
    <row r="20" spans="1:8" s="75" customFormat="1" ht="15" customHeight="1">
      <c r="A20" s="99" t="s">
        <v>17</v>
      </c>
      <c r="B20" s="114">
        <v>0</v>
      </c>
      <c r="C20" s="114">
        <v>0</v>
      </c>
      <c r="E20" s="100"/>
      <c r="F20" s="94"/>
      <c r="G20" s="94"/>
    </row>
    <row r="21" spans="1:8" s="75" customFormat="1" ht="15" customHeight="1">
      <c r="A21" s="101" t="s">
        <v>18</v>
      </c>
      <c r="B21" s="116">
        <f>B16-((B16-B19)*B20)</f>
        <v>0.7</v>
      </c>
      <c r="C21" s="116">
        <f>B16-((B16-C19)*C20)</f>
        <v>0.7</v>
      </c>
      <c r="E21" s="102"/>
      <c r="G21" s="82"/>
    </row>
    <row r="22" spans="1:8" s="75" customFormat="1" ht="15" customHeight="1">
      <c r="A22" s="99" t="s">
        <v>19</v>
      </c>
      <c r="B22" s="114">
        <v>0.5</v>
      </c>
      <c r="C22" s="114">
        <v>0.5</v>
      </c>
      <c r="E22" s="102"/>
      <c r="G22" s="82"/>
    </row>
    <row r="23" spans="1:8" s="75" customFormat="1" ht="15" customHeight="1">
      <c r="A23" s="101" t="s">
        <v>20</v>
      </c>
      <c r="B23" s="116">
        <f>B16-((B16-B19)*B22)</f>
        <v>0.75</v>
      </c>
      <c r="C23" s="116">
        <f>B16-((B16-C19)*C22)</f>
        <v>0.77499999999999991</v>
      </c>
      <c r="E23" s="102"/>
    </row>
    <row r="24" spans="1:8" s="75" customFormat="1" ht="15" customHeight="1">
      <c r="A24" s="99" t="s">
        <v>21</v>
      </c>
      <c r="B24" s="114">
        <v>1</v>
      </c>
      <c r="C24" s="114">
        <v>1</v>
      </c>
      <c r="E24" s="102"/>
    </row>
    <row r="25" spans="1:8" s="75" customFormat="1" ht="15" customHeight="1">
      <c r="A25" s="101" t="s">
        <v>22</v>
      </c>
      <c r="B25" s="116">
        <f>B16-((B16-B19)*B24)</f>
        <v>0.8</v>
      </c>
      <c r="C25" s="116">
        <f>B16-((B16-C19)*C24)</f>
        <v>0.85</v>
      </c>
    </row>
    <row r="26" spans="1:8" s="75" customFormat="1" ht="15" customHeight="1">
      <c r="A26" s="133"/>
      <c r="B26" s="132"/>
    </row>
    <row r="27" spans="1:8" s="75" customFormat="1" ht="15" customHeight="1">
      <c r="A27" s="252" t="s">
        <v>23</v>
      </c>
      <c r="B27" s="133"/>
    </row>
    <row r="28" spans="1:8" s="75" customFormat="1" ht="15" customHeight="1">
      <c r="A28" s="105" t="s">
        <v>24</v>
      </c>
      <c r="B28" s="117">
        <v>0.1</v>
      </c>
      <c r="E28" s="90"/>
      <c r="F28" s="91"/>
      <c r="G28" s="92"/>
    </row>
    <row r="29" spans="1:8" s="75" customFormat="1" ht="15" customHeight="1">
      <c r="A29" s="105"/>
      <c r="D29" s="82"/>
      <c r="E29" s="93"/>
      <c r="G29" s="94"/>
    </row>
    <row r="30" spans="1:8" s="75" customFormat="1" ht="15" customHeight="1">
      <c r="A30" s="105"/>
      <c r="B30" s="251" t="s">
        <v>14</v>
      </c>
      <c r="C30" s="251" t="s">
        <v>15</v>
      </c>
      <c r="E30" s="100"/>
      <c r="F30" s="94"/>
      <c r="G30" s="94"/>
    </row>
    <row r="31" spans="1:8" s="75" customFormat="1" ht="15" customHeight="1">
      <c r="A31" s="105" t="s">
        <v>25</v>
      </c>
      <c r="B31" s="115">
        <v>0.12</v>
      </c>
      <c r="C31" s="115">
        <f>B28*1.3</f>
        <v>0.13</v>
      </c>
    </row>
    <row r="32" spans="1:8" s="75" customFormat="1" ht="15" customHeight="1">
      <c r="A32" s="105" t="s">
        <v>26</v>
      </c>
      <c r="B32" s="114">
        <v>0</v>
      </c>
      <c r="C32" s="114">
        <v>0</v>
      </c>
      <c r="E32" s="102"/>
    </row>
    <row r="33" spans="1:7" s="75" customFormat="1" ht="15" customHeight="1">
      <c r="A33" s="101" t="s">
        <v>27</v>
      </c>
      <c r="B33" s="116">
        <f>B28-((B28-B31)*B32)</f>
        <v>0.1</v>
      </c>
      <c r="C33" s="116">
        <f>B28-((B28-C31)*C32)</f>
        <v>0.1</v>
      </c>
      <c r="E33" s="102"/>
    </row>
    <row r="34" spans="1:7" s="75" customFormat="1" ht="15" customHeight="1">
      <c r="A34" s="105" t="s">
        <v>28</v>
      </c>
      <c r="B34" s="114">
        <v>0.5</v>
      </c>
      <c r="C34" s="114">
        <v>0.5</v>
      </c>
    </row>
    <row r="35" spans="1:7" s="75" customFormat="1" ht="15" customHeight="1">
      <c r="A35" s="106" t="s">
        <v>29</v>
      </c>
      <c r="B35" s="116">
        <f>B28+((B31-B28)*B34)</f>
        <v>0.11</v>
      </c>
      <c r="C35" s="116">
        <f>B28+((C31-B28)*C34)</f>
        <v>0.115</v>
      </c>
    </row>
    <row r="36" spans="1:7" s="75" customFormat="1" ht="15" customHeight="1">
      <c r="A36" s="105" t="s">
        <v>30</v>
      </c>
      <c r="B36" s="134">
        <v>1</v>
      </c>
      <c r="C36" s="114">
        <v>1</v>
      </c>
    </row>
    <row r="37" spans="1:7" s="75" customFormat="1" ht="15" customHeight="1">
      <c r="A37" s="106" t="s">
        <v>31</v>
      </c>
      <c r="B37" s="116">
        <f>B31</f>
        <v>0.12</v>
      </c>
      <c r="C37" s="128">
        <f>C31</f>
        <v>0.13</v>
      </c>
    </row>
    <row r="38" spans="1:7" s="75" customFormat="1" ht="15" customHeight="1">
      <c r="A38" s="107"/>
      <c r="B38" s="125"/>
    </row>
    <row r="39" spans="1:7" s="75" customFormat="1" ht="15" customHeight="1">
      <c r="A39" s="126" t="s">
        <v>32</v>
      </c>
      <c r="B39" s="123"/>
      <c r="E39" s="87"/>
      <c r="F39" s="82"/>
      <c r="G39" s="82"/>
    </row>
    <row r="40" spans="1:7" s="75" customFormat="1" ht="15" customHeight="1">
      <c r="A40" s="129" t="s">
        <v>33</v>
      </c>
      <c r="B40" s="117">
        <v>0.3</v>
      </c>
      <c r="E40" s="104"/>
      <c r="F40" s="81"/>
      <c r="G40" s="82"/>
    </row>
    <row r="41" spans="1:7" s="75" customFormat="1" ht="15" customHeight="1">
      <c r="A41" s="129"/>
      <c r="D41" s="108"/>
      <c r="E41" s="90"/>
      <c r="F41" s="91"/>
      <c r="G41" s="92"/>
    </row>
    <row r="42" spans="1:7" s="75" customFormat="1" ht="15" customHeight="1">
      <c r="A42" s="105" t="s">
        <v>34</v>
      </c>
      <c r="B42" s="120">
        <v>3</v>
      </c>
      <c r="D42" s="108"/>
      <c r="E42" s="90"/>
      <c r="F42" s="91"/>
      <c r="G42" s="92"/>
    </row>
    <row r="43" spans="1:7" s="75" customFormat="1" ht="15" customHeight="1">
      <c r="A43" s="105" t="s">
        <v>35</v>
      </c>
      <c r="B43" s="119">
        <f>1-B13</f>
        <v>0.8</v>
      </c>
      <c r="E43" s="107"/>
      <c r="G43" s="94"/>
    </row>
    <row r="44" spans="1:7" s="75" customFormat="1" ht="15" customHeight="1">
      <c r="A44" s="105" t="s">
        <v>36</v>
      </c>
      <c r="B44" s="119">
        <v>0.05</v>
      </c>
      <c r="E44" s="90"/>
      <c r="F44" s="97"/>
      <c r="G44" s="98"/>
    </row>
    <row r="45" spans="1:7" s="75" customFormat="1" ht="15" customHeight="1">
      <c r="A45" s="105"/>
      <c r="B45" s="84"/>
      <c r="E45" s="100"/>
      <c r="F45" s="94"/>
      <c r="G45" s="94"/>
    </row>
    <row r="46" spans="1:7" s="75" customFormat="1" ht="15" customHeight="1">
      <c r="A46" s="105"/>
      <c r="B46" s="251" t="s">
        <v>14</v>
      </c>
      <c r="C46" s="251" t="s">
        <v>15</v>
      </c>
    </row>
    <row r="47" spans="1:7" s="75" customFormat="1" ht="15" customHeight="1">
      <c r="A47" s="105" t="s">
        <v>37</v>
      </c>
      <c r="B47" s="115">
        <v>0.37</v>
      </c>
      <c r="C47" s="121">
        <v>0.4</v>
      </c>
    </row>
    <row r="48" spans="1:7" s="75" customFormat="1" ht="15" customHeight="1">
      <c r="A48" s="105" t="s">
        <v>38</v>
      </c>
      <c r="B48" s="114">
        <v>0</v>
      </c>
      <c r="C48" s="114">
        <v>0</v>
      </c>
      <c r="D48" s="82"/>
      <c r="E48" s="82"/>
    </row>
    <row r="49" spans="1:5" s="75" customFormat="1" ht="15" customHeight="1">
      <c r="A49" s="106" t="s">
        <v>39</v>
      </c>
      <c r="B49" s="116">
        <f>B40+((B47-B40)*B48)</f>
        <v>0.3</v>
      </c>
      <c r="C49" s="116">
        <f>B40+((C47-B40)*C48)</f>
        <v>0.3</v>
      </c>
      <c r="D49" s="82"/>
      <c r="E49" s="82"/>
    </row>
    <row r="50" spans="1:5" s="75" customFormat="1" ht="15" customHeight="1">
      <c r="A50" s="88" t="s">
        <v>40</v>
      </c>
      <c r="B50" s="114">
        <v>0.5</v>
      </c>
      <c r="C50" s="114">
        <v>0.5</v>
      </c>
    </row>
    <row r="51" spans="1:5" s="75" customFormat="1" ht="15" customHeight="1">
      <c r="A51" s="106" t="s">
        <v>41</v>
      </c>
      <c r="B51" s="116">
        <f>B40+((B47-B40)*B50)</f>
        <v>0.33499999999999996</v>
      </c>
      <c r="C51" s="116">
        <f>B40+((C47-B40)*C50)</f>
        <v>0.35</v>
      </c>
    </row>
    <row r="52" spans="1:5" s="75" customFormat="1" ht="15" customHeight="1">
      <c r="A52" s="88" t="s">
        <v>42</v>
      </c>
      <c r="B52" s="114">
        <v>1</v>
      </c>
      <c r="C52" s="114">
        <v>1</v>
      </c>
    </row>
    <row r="53" spans="1:5" s="75" customFormat="1" ht="15" customHeight="1">
      <c r="A53" s="106" t="s">
        <v>43</v>
      </c>
      <c r="B53" s="116">
        <f>B47</f>
        <v>0.37</v>
      </c>
      <c r="C53" s="116">
        <f>C47</f>
        <v>0.4</v>
      </c>
    </row>
    <row r="54" spans="1:5" s="88" customFormat="1" ht="15" customHeight="1">
      <c r="A54" s="106"/>
      <c r="B54" s="125"/>
    </row>
    <row r="55" spans="1:5" s="75" customFormat="1" ht="15" customHeight="1">
      <c r="A55" s="253" t="s">
        <v>44</v>
      </c>
      <c r="B55" s="127"/>
    </row>
    <row r="56" spans="1:5" s="75" customFormat="1" ht="15" customHeight="1">
      <c r="A56" s="130"/>
      <c r="B56" s="109"/>
    </row>
    <row r="57" spans="1:5" s="75" customFormat="1" ht="15" customHeight="1">
      <c r="A57" s="131" t="s">
        <v>45</v>
      </c>
      <c r="B57" s="122">
        <v>5</v>
      </c>
    </row>
    <row r="58" spans="1:5" s="75" customFormat="1" ht="15" customHeight="1">
      <c r="A58" s="131" t="s">
        <v>46</v>
      </c>
      <c r="B58" s="118">
        <v>1000000</v>
      </c>
    </row>
    <row r="59" spans="1:5" s="75" customFormat="1" ht="15" customHeight="1">
      <c r="A59" s="88"/>
      <c r="B59" s="110"/>
    </row>
    <row r="60" spans="1:5" s="75" customFormat="1" ht="15" customHeight="1">
      <c r="A60" s="105"/>
      <c r="B60" s="251" t="s">
        <v>14</v>
      </c>
      <c r="C60" s="251" t="s">
        <v>15</v>
      </c>
    </row>
    <row r="61" spans="1:5" s="75" customFormat="1" ht="15" customHeight="1">
      <c r="A61" s="105" t="s">
        <v>47</v>
      </c>
      <c r="B61" s="115">
        <v>0.15</v>
      </c>
      <c r="C61" s="115">
        <v>0.2</v>
      </c>
    </row>
    <row r="62" spans="1:5" s="75" customFormat="1" ht="15" customHeight="1">
      <c r="A62" s="105" t="s">
        <v>38</v>
      </c>
      <c r="B62" s="114">
        <v>0</v>
      </c>
      <c r="C62" s="114">
        <v>0</v>
      </c>
    </row>
    <row r="63" spans="1:5" s="75" customFormat="1" ht="15" customHeight="1">
      <c r="A63" s="88" t="s">
        <v>40</v>
      </c>
      <c r="B63" s="114">
        <v>0.5</v>
      </c>
      <c r="C63" s="114">
        <v>0.5</v>
      </c>
    </row>
    <row r="64" spans="1:5" s="75" customFormat="1" ht="15" customHeight="1">
      <c r="A64" s="88" t="s">
        <v>42</v>
      </c>
      <c r="B64" s="114">
        <v>1</v>
      </c>
      <c r="C64" s="114">
        <v>1</v>
      </c>
    </row>
    <row r="65" spans="1:54" s="75" customFormat="1" ht="15" customHeight="1">
      <c r="B65" s="110"/>
    </row>
    <row r="66" spans="1:54" ht="39.950000000000003" customHeight="1">
      <c r="A66" s="264" t="s">
        <v>48</v>
      </c>
      <c r="B66" s="264"/>
      <c r="C66" s="264"/>
      <c r="D66" s="264"/>
      <c r="E66" s="264"/>
      <c r="F66" s="74"/>
    </row>
    <row r="67" spans="1:54" s="241" customFormat="1" ht="17.25" customHeight="1">
      <c r="A67" s="245"/>
      <c r="B67" s="245"/>
      <c r="C67" s="245"/>
      <c r="D67" s="239"/>
      <c r="E67" s="239"/>
      <c r="F67" s="239"/>
      <c r="G67" s="240"/>
      <c r="H67" s="240"/>
      <c r="I67" s="240"/>
      <c r="J67" s="240"/>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row>
    <row r="73" spans="1:54">
      <c r="A73" s="246"/>
    </row>
  </sheetData>
  <mergeCells count="4">
    <mergeCell ref="A66:E66"/>
    <mergeCell ref="A2:E2"/>
    <mergeCell ref="A6:E6"/>
    <mergeCell ref="A8:D8"/>
  </mergeCells>
  <pageMargins left="0.5" right="0.5" top="0.5" bottom="0.75" header="0.5" footer="0.5"/>
  <pageSetup scale="80" orientation="landscape" r:id="rId1"/>
  <headerFooter>
    <oddFooter>&amp;L&amp;"Arial,Regular"&amp;8© 2019, Forrester Research, Inc.&amp;R&amp;"Arial,Regular"&amp;8&amp;P</oddFooter>
  </headerFooter>
  <rowBreaks count="1" manualBreakCount="1">
    <brk id="3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M73"/>
  <sheetViews>
    <sheetView zoomScaleNormal="100" zoomScalePageLayoutView="125" workbookViewId="0"/>
  </sheetViews>
  <sheetFormatPr defaultColWidth="11.42578125" defaultRowHeight="14.25"/>
  <cols>
    <col min="1" max="1" width="50.7109375" style="245" customWidth="1"/>
    <col min="2" max="2" width="5.7109375" style="245" customWidth="1"/>
    <col min="3" max="5" width="15.7109375" style="245" customWidth="1"/>
    <col min="6" max="6" width="5.7109375" style="245" customWidth="1"/>
    <col min="7" max="9" width="15.7109375" style="245" customWidth="1"/>
    <col min="10" max="14" width="11.42578125" style="245" customWidth="1"/>
    <col min="15" max="16384" width="11.42578125" style="245"/>
  </cols>
  <sheetData>
    <row r="1" spans="1:10" s="242" customFormat="1" ht="15" customHeight="1">
      <c r="A1" s="72" t="s">
        <v>0</v>
      </c>
    </row>
    <row r="2" spans="1:10" ht="21" customHeight="1">
      <c r="A2" s="265" t="s">
        <v>1</v>
      </c>
      <c r="B2" s="265"/>
      <c r="C2" s="265"/>
      <c r="D2" s="265"/>
      <c r="E2" s="265"/>
      <c r="F2" s="265"/>
      <c r="G2" s="265"/>
      <c r="H2" s="265"/>
      <c r="I2" s="265"/>
    </row>
    <row r="3" spans="1:10" s="242" customFormat="1" ht="15" customHeight="1">
      <c r="A3" s="250" t="s">
        <v>2</v>
      </c>
      <c r="B3" s="243"/>
      <c r="C3" s="243"/>
      <c r="D3" s="243"/>
      <c r="E3" s="243"/>
      <c r="F3" s="243"/>
      <c r="G3" s="243"/>
      <c r="H3" s="243"/>
      <c r="I3" s="243"/>
    </row>
    <row r="4" spans="1:10" s="242" customFormat="1" ht="15" customHeight="1">
      <c r="A4" s="73" t="s">
        <v>3</v>
      </c>
      <c r="B4" s="243"/>
      <c r="C4" s="243"/>
      <c r="D4" s="243"/>
      <c r="E4" s="243"/>
      <c r="F4" s="243"/>
      <c r="G4" s="243"/>
      <c r="H4" s="243"/>
      <c r="I4" s="243"/>
    </row>
    <row r="5" spans="1:10" s="242" customFormat="1" ht="15" customHeight="1">
      <c r="A5" s="243"/>
    </row>
    <row r="6" spans="1:10" s="242" customFormat="1" ht="15" customHeight="1">
      <c r="A6" s="266" t="s">
        <v>4</v>
      </c>
      <c r="B6" s="266"/>
      <c r="C6" s="266"/>
      <c r="D6" s="266"/>
      <c r="E6" s="266"/>
      <c r="F6" s="266"/>
      <c r="G6" s="266"/>
      <c r="H6" s="266"/>
      <c r="I6" s="266"/>
    </row>
    <row r="7" spans="1:10" s="75" customFormat="1" ht="15" customHeight="1">
      <c r="A7" s="135"/>
    </row>
    <row r="8" spans="1:10" s="75" customFormat="1" ht="15" customHeight="1">
      <c r="A8" s="267" t="s">
        <v>49</v>
      </c>
      <c r="B8" s="267"/>
      <c r="C8" s="267"/>
      <c r="D8" s="267"/>
      <c r="E8" s="267"/>
      <c r="F8" s="267"/>
      <c r="G8" s="267"/>
      <c r="H8" s="267"/>
      <c r="I8" s="267"/>
    </row>
    <row r="9" spans="1:10" s="75" customFormat="1" ht="15" customHeight="1">
      <c r="A9" s="136"/>
      <c r="B9" s="136"/>
    </row>
    <row r="10" spans="1:10" s="75" customFormat="1" ht="15" customHeight="1">
      <c r="B10" s="137"/>
      <c r="C10" s="268" t="s">
        <v>50</v>
      </c>
      <c r="D10" s="268"/>
      <c r="E10" s="268"/>
      <c r="F10" s="138"/>
      <c r="G10" s="268" t="s">
        <v>51</v>
      </c>
      <c r="H10" s="268"/>
      <c r="I10" s="268"/>
    </row>
    <row r="11" spans="1:10" s="75" customFormat="1" ht="15" customHeight="1">
      <c r="A11" s="269" t="s">
        <v>52</v>
      </c>
      <c r="B11" s="269"/>
      <c r="C11" s="269"/>
      <c r="D11" s="269"/>
      <c r="E11" s="269"/>
      <c r="F11" s="269"/>
      <c r="G11" s="269"/>
      <c r="H11" s="269"/>
      <c r="I11" s="269"/>
    </row>
    <row r="12" spans="1:10" s="75" customFormat="1" ht="15" customHeight="1">
      <c r="A12" s="133"/>
      <c r="B12" s="139"/>
      <c r="C12" s="184" t="s">
        <v>53</v>
      </c>
      <c r="D12" s="184" t="s">
        <v>54</v>
      </c>
      <c r="E12" s="184" t="s">
        <v>55</v>
      </c>
      <c r="F12" s="139"/>
      <c r="G12" s="184" t="s">
        <v>53</v>
      </c>
      <c r="H12" s="184" t="s">
        <v>54</v>
      </c>
      <c r="I12" s="184" t="s">
        <v>55</v>
      </c>
    </row>
    <row r="13" spans="1:10" s="75" customFormat="1" ht="15" customHeight="1">
      <c r="A13" s="140" t="s">
        <v>12</v>
      </c>
      <c r="B13" s="141"/>
      <c r="C13" s="136"/>
      <c r="D13" s="136"/>
      <c r="E13" s="136"/>
      <c r="F13" s="141"/>
      <c r="G13" s="185"/>
      <c r="H13" s="185"/>
      <c r="I13" s="185"/>
    </row>
    <row r="14" spans="1:10" s="75" customFormat="1" ht="15" customHeight="1">
      <c r="A14" s="87" t="s">
        <v>56</v>
      </c>
      <c r="B14" s="142"/>
      <c r="C14" s="179">
        <f>Assumptions!B10</f>
        <v>2000000</v>
      </c>
      <c r="D14" s="179">
        <f>C14-C17+(C14*0.25)</f>
        <v>1900000</v>
      </c>
      <c r="E14" s="179">
        <f>D14-D17+(D14*0.25)</f>
        <v>1805000</v>
      </c>
      <c r="F14" s="141"/>
      <c r="G14" s="179">
        <f>Assumptions!B10</f>
        <v>2000000</v>
      </c>
      <c r="H14" s="179">
        <f>G14-G20+(G14*0.25)</f>
        <v>1900000</v>
      </c>
      <c r="I14" s="179">
        <f>H14-H20+(H14*0.25)</f>
        <v>1947499.9999999998</v>
      </c>
      <c r="J14" s="143"/>
    </row>
    <row r="15" spans="1:10" s="75" customFormat="1" ht="15" customHeight="1">
      <c r="A15" s="87"/>
      <c r="B15" s="142"/>
      <c r="C15" s="179"/>
      <c r="D15" s="179"/>
      <c r="E15" s="179"/>
      <c r="F15" s="141"/>
      <c r="G15" s="179"/>
      <c r="H15" s="186"/>
      <c r="I15" s="186"/>
      <c r="J15" s="143"/>
    </row>
    <row r="16" spans="1:10" s="75" customFormat="1" ht="15" customHeight="1">
      <c r="A16" s="90" t="s">
        <v>57</v>
      </c>
      <c r="B16" s="142"/>
      <c r="C16" s="180">
        <f>Assumptions!$B$16</f>
        <v>0.7</v>
      </c>
      <c r="D16" s="180">
        <f>Assumptions!$B$16</f>
        <v>0.7</v>
      </c>
      <c r="E16" s="180">
        <f>Assumptions!$B$16</f>
        <v>0.7</v>
      </c>
      <c r="F16" s="141"/>
      <c r="G16" s="180">
        <f>Assumptions!$B$16</f>
        <v>0.7</v>
      </c>
      <c r="H16" s="180">
        <f>Assumptions!$B$16</f>
        <v>0.7</v>
      </c>
      <c r="I16" s="180">
        <f>Assumptions!$B$16</f>
        <v>0.7</v>
      </c>
      <c r="J16" s="143"/>
    </row>
    <row r="17" spans="1:12" s="75" customFormat="1" ht="15" customHeight="1">
      <c r="A17" s="90" t="s">
        <v>58</v>
      </c>
      <c r="B17" s="142"/>
      <c r="C17" s="179">
        <f>C14*(1-Assumptions!B16)</f>
        <v>600000.00000000012</v>
      </c>
      <c r="D17" s="179">
        <f>D14*(1-Assumptions!B16)</f>
        <v>570000.00000000012</v>
      </c>
      <c r="E17" s="179">
        <f>E14*(1-Assumptions!B16)</f>
        <v>541500.00000000012</v>
      </c>
      <c r="F17" s="141"/>
      <c r="G17" s="179">
        <f>G14*(1-Assumptions!B16)</f>
        <v>600000.00000000012</v>
      </c>
      <c r="H17" s="179">
        <f>H14*(1-Assumptions!B16)</f>
        <v>570000.00000000012</v>
      </c>
      <c r="I17" s="179">
        <f>I14*(1-Assumptions!B16)</f>
        <v>584250</v>
      </c>
      <c r="J17" s="143"/>
    </row>
    <row r="18" spans="1:12" s="75" customFormat="1" ht="15" customHeight="1">
      <c r="A18" s="90"/>
      <c r="B18" s="142"/>
      <c r="C18" s="179"/>
      <c r="D18" s="179"/>
      <c r="E18" s="179"/>
      <c r="F18" s="141"/>
      <c r="G18" s="179"/>
      <c r="H18" s="179"/>
      <c r="I18" s="179"/>
      <c r="J18" s="143"/>
    </row>
    <row r="19" spans="1:12" s="75" customFormat="1" ht="15" customHeight="1">
      <c r="A19" s="100" t="s">
        <v>59</v>
      </c>
      <c r="B19" s="142"/>
      <c r="C19" s="180">
        <f>Assumptions!$B$21</f>
        <v>0.7</v>
      </c>
      <c r="D19" s="181">
        <f>Assumptions!B23</f>
        <v>0.75</v>
      </c>
      <c r="E19" s="181">
        <f>Assumptions!B25</f>
        <v>0.8</v>
      </c>
      <c r="F19" s="144"/>
      <c r="G19" s="181">
        <f>Assumptions!C21</f>
        <v>0.7</v>
      </c>
      <c r="H19" s="181">
        <f>Assumptions!C23</f>
        <v>0.77499999999999991</v>
      </c>
      <c r="I19" s="181">
        <f>Assumptions!C25</f>
        <v>0.85</v>
      </c>
      <c r="J19" s="143"/>
    </row>
    <row r="20" spans="1:12" s="75" customFormat="1" ht="15" customHeight="1">
      <c r="A20" s="100" t="s">
        <v>60</v>
      </c>
      <c r="B20" s="142"/>
      <c r="C20" s="179">
        <f>C14*(1-Assumptions!B21)</f>
        <v>600000.00000000012</v>
      </c>
      <c r="D20" s="179">
        <f>D14*(1-Assumptions!B23)</f>
        <v>475000</v>
      </c>
      <c r="E20" s="179">
        <f>E14*(1-Assumptions!B25)</f>
        <v>360999.99999999994</v>
      </c>
      <c r="F20" s="141"/>
      <c r="G20" s="179">
        <f>G14*(1-Assumptions!B21)</f>
        <v>600000.00000000012</v>
      </c>
      <c r="H20" s="179">
        <f>H14*(1-Assumptions!C23)</f>
        <v>427500.00000000017</v>
      </c>
      <c r="I20" s="179">
        <f>I14*(1-Assumptions!C25)</f>
        <v>292125</v>
      </c>
      <c r="J20" s="143"/>
    </row>
    <row r="21" spans="1:12" s="75" customFormat="1" ht="15" customHeight="1">
      <c r="A21" s="93"/>
      <c r="B21" s="142"/>
      <c r="C21" s="179"/>
      <c r="D21" s="179"/>
      <c r="E21" s="179"/>
      <c r="F21" s="141"/>
      <c r="G21" s="187"/>
      <c r="H21" s="187"/>
      <c r="I21" s="187"/>
      <c r="J21" s="143"/>
    </row>
    <row r="22" spans="1:12" s="75" customFormat="1" ht="15" customHeight="1">
      <c r="A22" s="87" t="s">
        <v>61</v>
      </c>
      <c r="B22" s="142"/>
      <c r="C22" s="182">
        <f>C17-C20</f>
        <v>0</v>
      </c>
      <c r="D22" s="182">
        <f>D17-D20</f>
        <v>95000.000000000116</v>
      </c>
      <c r="E22" s="182">
        <f>E17-E20</f>
        <v>180500.00000000017</v>
      </c>
      <c r="F22" s="141"/>
      <c r="G22" s="186">
        <f>G17-G20</f>
        <v>0</v>
      </c>
      <c r="H22" s="186">
        <f>H17-H20</f>
        <v>142499.99999999994</v>
      </c>
      <c r="I22" s="186">
        <f>I17-I20</f>
        <v>292125</v>
      </c>
      <c r="J22" s="143"/>
      <c r="K22" s="95"/>
    </row>
    <row r="23" spans="1:12" s="75" customFormat="1" ht="15" customHeight="1">
      <c r="A23" s="145" t="s">
        <v>62</v>
      </c>
      <c r="B23" s="146"/>
      <c r="C23" s="183">
        <f>C22*Assumptions!$B$11</f>
        <v>0</v>
      </c>
      <c r="D23" s="183">
        <f>D22*Assumptions!$B$11</f>
        <v>38000000.000000045</v>
      </c>
      <c r="E23" s="183">
        <f>E22*Assumptions!$B$11</f>
        <v>72200000.000000075</v>
      </c>
      <c r="F23" s="139"/>
      <c r="G23" s="183">
        <f>G22*Assumptions!$B$11</f>
        <v>0</v>
      </c>
      <c r="H23" s="183">
        <f>H22*Assumptions!$B$11</f>
        <v>56999999.999999978</v>
      </c>
      <c r="I23" s="183">
        <f>I22*Assumptions!$B$11</f>
        <v>116850000</v>
      </c>
      <c r="K23" s="83"/>
    </row>
    <row r="24" spans="1:12" s="75" customFormat="1" ht="15" customHeight="1">
      <c r="A24" s="254" t="s">
        <v>23</v>
      </c>
      <c r="B24" s="148"/>
      <c r="C24" s="82"/>
      <c r="D24" s="82"/>
      <c r="E24" s="82"/>
      <c r="F24" s="149"/>
      <c r="G24" s="81"/>
      <c r="H24" s="81"/>
      <c r="I24" s="81"/>
      <c r="L24" s="83"/>
    </row>
    <row r="25" spans="1:12" s="75" customFormat="1" ht="15" customHeight="1">
      <c r="A25" s="87" t="s">
        <v>63</v>
      </c>
      <c r="B25" s="148"/>
      <c r="C25" s="179">
        <f>C14</f>
        <v>2000000</v>
      </c>
      <c r="D25" s="179">
        <f>D14</f>
        <v>1900000</v>
      </c>
      <c r="E25" s="179">
        <f>E14</f>
        <v>1805000</v>
      </c>
      <c r="F25" s="149"/>
      <c r="G25" s="179">
        <f>G14</f>
        <v>2000000</v>
      </c>
      <c r="H25" s="179">
        <f>H14</f>
        <v>1900000</v>
      </c>
      <c r="I25" s="179">
        <f>I14</f>
        <v>1947499.9999999998</v>
      </c>
      <c r="L25" s="83"/>
    </row>
    <row r="26" spans="1:12" s="75" customFormat="1" ht="15" customHeight="1">
      <c r="A26" s="147"/>
      <c r="B26" s="148"/>
      <c r="C26" s="188"/>
      <c r="D26" s="188"/>
      <c r="E26" s="188"/>
      <c r="F26" s="149"/>
      <c r="G26" s="188"/>
      <c r="H26" s="188"/>
      <c r="I26" s="188"/>
      <c r="L26" s="83"/>
    </row>
    <row r="27" spans="1:12" s="75" customFormat="1" ht="27" customHeight="1">
      <c r="A27" s="203" t="s">
        <v>64</v>
      </c>
      <c r="B27" s="148"/>
      <c r="C27" s="180">
        <f>Assumptions!$B$28</f>
        <v>0.1</v>
      </c>
      <c r="D27" s="180">
        <f>Assumptions!$B$28</f>
        <v>0.1</v>
      </c>
      <c r="E27" s="180">
        <f>Assumptions!$B$28</f>
        <v>0.1</v>
      </c>
      <c r="F27" s="149"/>
      <c r="G27" s="180">
        <f>Assumptions!$B$28</f>
        <v>0.1</v>
      </c>
      <c r="H27" s="180">
        <f>Assumptions!$B$28</f>
        <v>0.1</v>
      </c>
      <c r="I27" s="180">
        <f>Assumptions!$B$28</f>
        <v>0.1</v>
      </c>
      <c r="L27" s="83"/>
    </row>
    <row r="28" spans="1:12" s="75" customFormat="1" ht="15" customHeight="1">
      <c r="A28" s="90" t="s">
        <v>65</v>
      </c>
      <c r="B28" s="142"/>
      <c r="C28" s="179">
        <f>C25*Assumptions!$B$28</f>
        <v>200000</v>
      </c>
      <c r="D28" s="179">
        <f>D25*Assumptions!$B$28</f>
        <v>190000</v>
      </c>
      <c r="E28" s="179">
        <f>E25*Assumptions!$B$28</f>
        <v>180500</v>
      </c>
      <c r="F28" s="149"/>
      <c r="G28" s="179">
        <f>G25*Assumptions!$B$28</f>
        <v>200000</v>
      </c>
      <c r="H28" s="179">
        <f>H25*Assumptions!$B$28</f>
        <v>190000</v>
      </c>
      <c r="I28" s="179">
        <f>I25*Assumptions!$B$28</f>
        <v>194750</v>
      </c>
      <c r="L28" s="85"/>
    </row>
    <row r="29" spans="1:12" s="75" customFormat="1" ht="15" customHeight="1">
      <c r="A29" s="90"/>
      <c r="B29" s="142"/>
      <c r="C29" s="179"/>
      <c r="D29" s="179"/>
      <c r="E29" s="179"/>
      <c r="F29" s="149"/>
      <c r="G29" s="179"/>
      <c r="H29" s="179"/>
      <c r="I29" s="179"/>
      <c r="L29" s="85"/>
    </row>
    <row r="30" spans="1:12" s="75" customFormat="1" ht="27" customHeight="1">
      <c r="A30" s="249" t="s">
        <v>66</v>
      </c>
      <c r="B30" s="142"/>
      <c r="C30" s="180">
        <f>Assumptions!$B$28</f>
        <v>0.1</v>
      </c>
      <c r="D30" s="180">
        <f>Assumptions!B35</f>
        <v>0.11</v>
      </c>
      <c r="E30" s="180">
        <f>Assumptions!B31</f>
        <v>0.12</v>
      </c>
      <c r="F30" s="149"/>
      <c r="G30" s="180">
        <f>Assumptions!$B$28</f>
        <v>0.1</v>
      </c>
      <c r="H30" s="180">
        <f>Assumptions!C35</f>
        <v>0.115</v>
      </c>
      <c r="I30" s="180">
        <f>Assumptions!C31</f>
        <v>0.13</v>
      </c>
      <c r="L30" s="85"/>
    </row>
    <row r="31" spans="1:12" s="75" customFormat="1" ht="27" customHeight="1">
      <c r="A31" s="249" t="s">
        <v>67</v>
      </c>
      <c r="B31" s="150"/>
      <c r="C31" s="179">
        <f>C25*Assumptions!B28</f>
        <v>200000</v>
      </c>
      <c r="D31" s="179">
        <f>D25*Assumptions!B35</f>
        <v>209000</v>
      </c>
      <c r="E31" s="179">
        <f>E25*Assumptions!B31</f>
        <v>216600</v>
      </c>
      <c r="F31" s="141"/>
      <c r="G31" s="179">
        <f>G25*Assumptions!B28</f>
        <v>200000</v>
      </c>
      <c r="H31" s="179">
        <f>H25*Assumptions!C35</f>
        <v>218500</v>
      </c>
      <c r="I31" s="179">
        <f>I25*Assumptions!C31</f>
        <v>253174.99999999997</v>
      </c>
    </row>
    <row r="32" spans="1:12" s="75" customFormat="1" ht="15" customHeight="1">
      <c r="A32" s="90"/>
      <c r="B32" s="150"/>
      <c r="C32" s="179"/>
      <c r="D32" s="179"/>
      <c r="E32" s="179"/>
      <c r="F32" s="141"/>
      <c r="G32" s="179"/>
      <c r="H32" s="179"/>
      <c r="I32" s="179"/>
    </row>
    <row r="33" spans="1:9" s="75" customFormat="1" ht="27" customHeight="1">
      <c r="A33" s="203" t="s">
        <v>68</v>
      </c>
      <c r="B33" s="150"/>
      <c r="C33" s="179">
        <f>C31-C28</f>
        <v>0</v>
      </c>
      <c r="D33" s="179">
        <f t="shared" ref="D33:E33" si="0">D31-D28</f>
        <v>19000</v>
      </c>
      <c r="E33" s="179">
        <f t="shared" si="0"/>
        <v>36100</v>
      </c>
      <c r="F33" s="141"/>
      <c r="G33" s="179">
        <f t="shared" ref="G33:I33" si="1">G31-G28</f>
        <v>0</v>
      </c>
      <c r="H33" s="179">
        <f t="shared" si="1"/>
        <v>28500</v>
      </c>
      <c r="I33" s="179">
        <f t="shared" si="1"/>
        <v>58424.999999999971</v>
      </c>
    </row>
    <row r="34" spans="1:9" s="75" customFormat="1" ht="15" customHeight="1">
      <c r="A34" s="145" t="s">
        <v>69</v>
      </c>
      <c r="B34" s="146"/>
      <c r="C34" s="183">
        <f>C33*Assumptions!$B$12</f>
        <v>0</v>
      </c>
      <c r="D34" s="183">
        <f>D33*Assumptions!$B$12</f>
        <v>1900000</v>
      </c>
      <c r="E34" s="183">
        <f>E33*Assumptions!$B$12</f>
        <v>3610000</v>
      </c>
      <c r="F34" s="139"/>
      <c r="G34" s="183">
        <f>G33*Assumptions!$B$12</f>
        <v>0</v>
      </c>
      <c r="H34" s="183">
        <f>H33*Assumptions!$B$12</f>
        <v>2850000</v>
      </c>
      <c r="I34" s="183">
        <f>I33*Assumptions!$B$12</f>
        <v>5842499.9999999972</v>
      </c>
    </row>
    <row r="35" spans="1:9" s="75" customFormat="1" ht="15" customHeight="1">
      <c r="A35" s="147" t="s">
        <v>32</v>
      </c>
      <c r="B35" s="148"/>
      <c r="F35" s="141"/>
    </row>
    <row r="36" spans="1:9" s="75" customFormat="1" ht="15" customHeight="1">
      <c r="A36" s="87" t="s">
        <v>70</v>
      </c>
      <c r="B36" s="142"/>
      <c r="C36" s="179">
        <f>C14</f>
        <v>2000000</v>
      </c>
      <c r="D36" s="179">
        <f>D14</f>
        <v>1900000</v>
      </c>
      <c r="E36" s="179">
        <f>E14</f>
        <v>1805000</v>
      </c>
      <c r="F36" s="141"/>
      <c r="G36" s="179">
        <f>G14</f>
        <v>2000000</v>
      </c>
      <c r="H36" s="179">
        <f>H14</f>
        <v>1900000</v>
      </c>
      <c r="I36" s="179">
        <f>I14</f>
        <v>1947499.9999999998</v>
      </c>
    </row>
    <row r="37" spans="1:9" s="75" customFormat="1" ht="15" customHeight="1">
      <c r="A37" s="87"/>
      <c r="B37" s="142"/>
      <c r="C37" s="179"/>
      <c r="D37" s="179"/>
      <c r="E37" s="179"/>
      <c r="F37" s="141"/>
      <c r="G37" s="179"/>
      <c r="H37" s="179"/>
      <c r="I37" s="179"/>
    </row>
    <row r="38" spans="1:9" s="75" customFormat="1" ht="15" customHeight="1">
      <c r="A38" s="90" t="s">
        <v>71</v>
      </c>
      <c r="B38" s="142"/>
      <c r="C38" s="189">
        <f>Assumptions!$B$40</f>
        <v>0.3</v>
      </c>
      <c r="D38" s="189">
        <f>Assumptions!$B$40</f>
        <v>0.3</v>
      </c>
      <c r="E38" s="189">
        <f>Assumptions!$B$40</f>
        <v>0.3</v>
      </c>
      <c r="F38" s="141"/>
      <c r="G38" s="189">
        <f>Assumptions!$B$40</f>
        <v>0.3</v>
      </c>
      <c r="H38" s="189">
        <f>Assumptions!$B$40</f>
        <v>0.3</v>
      </c>
      <c r="I38" s="189">
        <f>Assumptions!$B$40</f>
        <v>0.3</v>
      </c>
    </row>
    <row r="39" spans="1:9" s="75" customFormat="1" ht="15" customHeight="1">
      <c r="A39" s="90" t="s">
        <v>72</v>
      </c>
      <c r="B39" s="142"/>
      <c r="C39" s="179">
        <f>C36*C38</f>
        <v>600000</v>
      </c>
      <c r="D39" s="179">
        <f>D36*D38</f>
        <v>570000</v>
      </c>
      <c r="E39" s="179">
        <f>E36*E38</f>
        <v>541500</v>
      </c>
      <c r="F39" s="141"/>
      <c r="G39" s="179">
        <f>G36*G38</f>
        <v>600000</v>
      </c>
      <c r="H39" s="179">
        <f>H36*H38</f>
        <v>570000</v>
      </c>
      <c r="I39" s="179">
        <f>I36*I38</f>
        <v>584249.99999999988</v>
      </c>
    </row>
    <row r="40" spans="1:9" s="75" customFormat="1" ht="15" customHeight="1">
      <c r="A40" s="90"/>
      <c r="B40" s="142"/>
      <c r="C40" s="189"/>
      <c r="D40" s="190"/>
      <c r="E40" s="190"/>
      <c r="F40" s="141"/>
      <c r="G40" s="187"/>
      <c r="H40" s="190"/>
      <c r="I40" s="190"/>
    </row>
    <row r="41" spans="1:9" s="75" customFormat="1" ht="27" customHeight="1">
      <c r="A41" s="249" t="s">
        <v>73</v>
      </c>
      <c r="B41" s="142"/>
      <c r="C41" s="189">
        <f>C38</f>
        <v>0.3</v>
      </c>
      <c r="D41" s="189">
        <f>Assumptions!B51</f>
        <v>0.33499999999999996</v>
      </c>
      <c r="E41" s="189">
        <f>Assumptions!B47</f>
        <v>0.37</v>
      </c>
      <c r="F41" s="144"/>
      <c r="G41" s="189">
        <f>G38</f>
        <v>0.3</v>
      </c>
      <c r="H41" s="189">
        <f>Assumptions!C51</f>
        <v>0.35</v>
      </c>
      <c r="I41" s="189">
        <f>Assumptions!C47</f>
        <v>0.4</v>
      </c>
    </row>
    <row r="42" spans="1:9" s="75" customFormat="1" ht="15" customHeight="1">
      <c r="A42" s="100" t="s">
        <v>74</v>
      </c>
      <c r="B42" s="142"/>
      <c r="C42" s="179">
        <f>C36*C41</f>
        <v>600000</v>
      </c>
      <c r="D42" s="179">
        <f>D36*D41</f>
        <v>636499.99999999988</v>
      </c>
      <c r="E42" s="179">
        <f>E36*E41</f>
        <v>667850</v>
      </c>
      <c r="F42" s="141"/>
      <c r="G42" s="179">
        <f>G36*G41</f>
        <v>600000</v>
      </c>
      <c r="H42" s="179">
        <f>H36*H41</f>
        <v>665000</v>
      </c>
      <c r="I42" s="179">
        <f>I36*I41</f>
        <v>779000</v>
      </c>
    </row>
    <row r="43" spans="1:9" s="75" customFormat="1" ht="15" customHeight="1">
      <c r="A43" s="90"/>
      <c r="B43" s="142"/>
      <c r="C43" s="190"/>
      <c r="D43" s="190"/>
      <c r="E43" s="190"/>
      <c r="F43" s="141"/>
      <c r="G43" s="187"/>
      <c r="H43" s="190"/>
      <c r="I43" s="190"/>
    </row>
    <row r="44" spans="1:9" s="75" customFormat="1" ht="27" customHeight="1">
      <c r="A44" s="263" t="s">
        <v>75</v>
      </c>
      <c r="B44" s="142"/>
      <c r="C44" s="186">
        <f>C42-C39</f>
        <v>0</v>
      </c>
      <c r="D44" s="186">
        <f>D42-D39</f>
        <v>66499.999999999884</v>
      </c>
      <c r="E44" s="186">
        <f>E42-E39</f>
        <v>126350</v>
      </c>
      <c r="F44" s="141"/>
      <c r="G44" s="186">
        <f>G42-G39</f>
        <v>0</v>
      </c>
      <c r="H44" s="186">
        <f>H42-H39</f>
        <v>95000</v>
      </c>
      <c r="I44" s="186">
        <f>I42-I39</f>
        <v>194750.00000000012</v>
      </c>
    </row>
    <row r="45" spans="1:9" s="75" customFormat="1" ht="15" customHeight="1">
      <c r="A45" s="202"/>
      <c r="B45" s="142"/>
      <c r="C45" s="186"/>
      <c r="D45" s="186"/>
      <c r="E45" s="186"/>
      <c r="F45" s="141"/>
      <c r="G45" s="186">
        <f>(Assumptions!$B$10)*Assumptions!$B$40*Assumptions!$B$42*Assumptions!$B$43*Assumptions!$B$44</f>
        <v>72000</v>
      </c>
      <c r="H45" s="186">
        <f>(G45+Assumptions!$B$10)*Assumptions!$B$40*Assumptions!$B$42*Assumptions!$B$43*Assumptions!$B$44</f>
        <v>74592</v>
      </c>
      <c r="I45" s="186">
        <f>(H45+G45+Assumptions!$B$10)*Assumptions!$B$40*Assumptions!$B$42*Assumptions!$B$43*Assumptions!$B$44</f>
        <v>77277.312000000005</v>
      </c>
    </row>
    <row r="46" spans="1:9" s="75" customFormat="1" ht="27" customHeight="1">
      <c r="A46" s="204" t="s">
        <v>34</v>
      </c>
      <c r="B46" s="142"/>
      <c r="C46" s="179">
        <f>Assumptions!$B$42</f>
        <v>3</v>
      </c>
      <c r="D46" s="179">
        <f>Assumptions!$B$42</f>
        <v>3</v>
      </c>
      <c r="E46" s="179">
        <f>Assumptions!$B$42</f>
        <v>3</v>
      </c>
      <c r="F46" s="141"/>
      <c r="G46" s="191">
        <f>Assumptions!$B$42</f>
        <v>3</v>
      </c>
      <c r="H46" s="191">
        <f>Assumptions!$B$42</f>
        <v>3</v>
      </c>
      <c r="I46" s="191">
        <f>Assumptions!$B$42</f>
        <v>3</v>
      </c>
    </row>
    <row r="47" spans="1:9" s="75" customFormat="1" ht="27" customHeight="1">
      <c r="A47" s="204" t="s">
        <v>35</v>
      </c>
      <c r="B47" s="142"/>
      <c r="C47" s="180">
        <f>Assumptions!$B$43</f>
        <v>0.8</v>
      </c>
      <c r="D47" s="180">
        <f>Assumptions!$B$43</f>
        <v>0.8</v>
      </c>
      <c r="E47" s="180">
        <f>Assumptions!$B$43</f>
        <v>0.8</v>
      </c>
      <c r="F47" s="141"/>
      <c r="G47" s="180">
        <f>Assumptions!$B$43</f>
        <v>0.8</v>
      </c>
      <c r="H47" s="180">
        <f>Assumptions!$B$43</f>
        <v>0.8</v>
      </c>
      <c r="I47" s="180">
        <f>Assumptions!$B$43</f>
        <v>0.8</v>
      </c>
    </row>
    <row r="48" spans="1:9" s="75" customFormat="1" ht="27" customHeight="1">
      <c r="A48" s="204" t="s">
        <v>36</v>
      </c>
      <c r="B48" s="142"/>
      <c r="C48" s="180">
        <f>Assumptions!$B$44</f>
        <v>0.05</v>
      </c>
      <c r="D48" s="180">
        <f>Assumptions!$B$44</f>
        <v>0.05</v>
      </c>
      <c r="E48" s="180">
        <f>Assumptions!$B$44</f>
        <v>0.05</v>
      </c>
      <c r="F48" s="141"/>
      <c r="G48" s="180">
        <f>Assumptions!$B$44</f>
        <v>0.05</v>
      </c>
      <c r="H48" s="180">
        <f>Assumptions!$B$44</f>
        <v>0.05</v>
      </c>
      <c r="I48" s="180">
        <f>Assumptions!$B$44</f>
        <v>0.05</v>
      </c>
    </row>
    <row r="49" spans="1:13" s="75" customFormat="1" ht="15" customHeight="1">
      <c r="A49" s="151"/>
      <c r="B49" s="142"/>
      <c r="C49" s="180"/>
      <c r="D49" s="180"/>
      <c r="E49" s="180"/>
      <c r="F49" s="141"/>
      <c r="G49" s="180"/>
      <c r="H49" s="180"/>
      <c r="I49" s="180"/>
    </row>
    <row r="50" spans="1:13" s="75" customFormat="1" ht="15" customHeight="1">
      <c r="A50" s="151" t="s">
        <v>76</v>
      </c>
      <c r="B50" s="142"/>
      <c r="C50" s="179">
        <f>C44*C46*C47*C48</f>
        <v>0</v>
      </c>
      <c r="D50" s="179">
        <f>D44*D46*D47*D48</f>
        <v>7979.9999999999873</v>
      </c>
      <c r="E50" s="179">
        <f>E44*E46*E47*E48</f>
        <v>15162</v>
      </c>
      <c r="F50" s="141"/>
      <c r="G50" s="179">
        <f>G44*G46*G47*G48</f>
        <v>0</v>
      </c>
      <c r="H50" s="179">
        <f>H44*H46*H47*H48</f>
        <v>11400</v>
      </c>
      <c r="I50" s="179">
        <f>I44*I46*I47*I48</f>
        <v>23370.000000000015</v>
      </c>
    </row>
    <row r="51" spans="1:13" s="75" customFormat="1" ht="15" customHeight="1">
      <c r="A51" s="145" t="s">
        <v>77</v>
      </c>
      <c r="B51" s="146"/>
      <c r="C51" s="183">
        <f>Benefits!B10*C50</f>
        <v>0</v>
      </c>
      <c r="D51" s="183">
        <f>D50*Assumptions!$B$11</f>
        <v>3191999.9999999949</v>
      </c>
      <c r="E51" s="183">
        <f>E50*Assumptions!$B$11</f>
        <v>6064800</v>
      </c>
      <c r="F51" s="139"/>
      <c r="G51" s="183">
        <f>G50*Assumptions!$B$11</f>
        <v>0</v>
      </c>
      <c r="H51" s="183">
        <f>H50*Assumptions!$B$11</f>
        <v>4560000</v>
      </c>
      <c r="I51" s="183">
        <f>I50*Assumptions!$B$11</f>
        <v>9348000.0000000056</v>
      </c>
    </row>
    <row r="52" spans="1:13" s="75" customFormat="1" ht="15" customHeight="1" thickBot="1">
      <c r="A52" s="152"/>
      <c r="B52" s="153"/>
      <c r="C52" s="154"/>
      <c r="D52" s="154"/>
      <c r="E52" s="154"/>
      <c r="F52" s="155"/>
      <c r="G52" s="154"/>
      <c r="H52" s="154"/>
      <c r="I52" s="154"/>
    </row>
    <row r="53" spans="1:13" s="147" customFormat="1" ht="15" customHeight="1" thickTop="1" thickBot="1">
      <c r="A53" s="156" t="s">
        <v>78</v>
      </c>
      <c r="B53" s="157"/>
      <c r="C53" s="192">
        <f>C23+C34+C51</f>
        <v>0</v>
      </c>
      <c r="D53" s="192">
        <f>D23+D34+D51</f>
        <v>43092000.000000037</v>
      </c>
      <c r="E53" s="192">
        <f>E23+E34+E51</f>
        <v>81874800.000000075</v>
      </c>
      <c r="F53" s="193"/>
      <c r="G53" s="192">
        <f>G23+G34+G51</f>
        <v>0</v>
      </c>
      <c r="H53" s="192">
        <f>H23+H34+H51</f>
        <v>64409999.999999978</v>
      </c>
      <c r="I53" s="192">
        <f>I23+I34+I51</f>
        <v>132040500</v>
      </c>
    </row>
    <row r="54" spans="1:13" s="147" customFormat="1" ht="15" customHeight="1" thickTop="1">
      <c r="A54" s="86"/>
      <c r="B54" s="159"/>
      <c r="C54" s="160"/>
      <c r="D54" s="160"/>
      <c r="E54" s="160"/>
      <c r="F54" s="161"/>
      <c r="G54" s="162"/>
      <c r="H54" s="162"/>
      <c r="I54" s="162"/>
    </row>
    <row r="55" spans="1:13" s="75" customFormat="1" ht="15" customHeight="1">
      <c r="A55" s="270" t="s">
        <v>79</v>
      </c>
      <c r="B55" s="270"/>
      <c r="C55" s="270"/>
      <c r="D55" s="270"/>
      <c r="E55" s="270"/>
      <c r="F55" s="270"/>
      <c r="G55" s="270"/>
      <c r="H55" s="270"/>
      <c r="I55" s="270"/>
    </row>
    <row r="56" spans="1:13" s="75" customFormat="1" ht="15" customHeight="1">
      <c r="A56" s="164"/>
      <c r="B56" s="165"/>
      <c r="C56" s="184" t="s">
        <v>80</v>
      </c>
      <c r="D56" s="184" t="s">
        <v>81</v>
      </c>
      <c r="E56" s="184" t="s">
        <v>82</v>
      </c>
      <c r="F56" s="139"/>
      <c r="G56" s="184" t="s">
        <v>80</v>
      </c>
      <c r="H56" s="184" t="s">
        <v>81</v>
      </c>
      <c r="I56" s="184" t="s">
        <v>82</v>
      </c>
    </row>
    <row r="57" spans="1:13" s="75" customFormat="1" ht="15" customHeight="1">
      <c r="A57" s="254" t="s">
        <v>83</v>
      </c>
      <c r="B57" s="148"/>
      <c r="C57" s="194"/>
      <c r="D57" s="194"/>
      <c r="E57" s="194"/>
      <c r="F57" s="166"/>
      <c r="G57" s="194"/>
      <c r="H57" s="194"/>
      <c r="I57" s="194"/>
    </row>
    <row r="58" spans="1:13" s="75" customFormat="1" ht="15" customHeight="1">
      <c r="A58" s="87" t="s">
        <v>84</v>
      </c>
      <c r="B58" s="148"/>
      <c r="C58" s="195">
        <f>Assumptions!$B$58</f>
        <v>1000000</v>
      </c>
      <c r="D58" s="195">
        <f>Assumptions!$B$58</f>
        <v>1000000</v>
      </c>
      <c r="E58" s="195">
        <f>Assumptions!$B$58</f>
        <v>1000000</v>
      </c>
      <c r="F58" s="166"/>
      <c r="G58" s="195">
        <f>Assumptions!$B$58</f>
        <v>1000000</v>
      </c>
      <c r="H58" s="195">
        <f>Assumptions!$B$58</f>
        <v>1000000</v>
      </c>
      <c r="I58" s="195">
        <f>Assumptions!$B$58</f>
        <v>1000000</v>
      </c>
    </row>
    <row r="59" spans="1:13" s="75" customFormat="1" ht="15" customHeight="1">
      <c r="A59" s="87" t="s">
        <v>85</v>
      </c>
      <c r="B59" s="148"/>
      <c r="C59" s="194">
        <f>C58*Assumptions!$B$57</f>
        <v>5000000</v>
      </c>
      <c r="D59" s="194">
        <f>D58*Assumptions!$B$57</f>
        <v>5000000</v>
      </c>
      <c r="E59" s="194">
        <f>E58*Assumptions!$B$57</f>
        <v>5000000</v>
      </c>
      <c r="F59" s="166"/>
      <c r="G59" s="194">
        <f>G58*Assumptions!$B$57</f>
        <v>5000000</v>
      </c>
      <c r="H59" s="194">
        <f>H58*Assumptions!$B$57</f>
        <v>5000000</v>
      </c>
      <c r="I59" s="194">
        <f>I58*Assumptions!$B$57</f>
        <v>5000000</v>
      </c>
      <c r="M59" s="167"/>
    </row>
    <row r="60" spans="1:13" s="75" customFormat="1" ht="15" customHeight="1">
      <c r="A60" s="87"/>
      <c r="B60" s="148"/>
      <c r="C60" s="194"/>
      <c r="D60" s="194"/>
      <c r="E60" s="194"/>
      <c r="F60" s="166"/>
      <c r="G60" s="194"/>
      <c r="H60" s="194"/>
      <c r="I60" s="194"/>
    </row>
    <row r="61" spans="1:13" s="75" customFormat="1" ht="15" customHeight="1">
      <c r="A61" s="87" t="s">
        <v>86</v>
      </c>
      <c r="B61" s="168"/>
      <c r="C61" s="196">
        <f>Assumptions!$B$61*Assumptions!B62</f>
        <v>0</v>
      </c>
      <c r="D61" s="196">
        <f>Assumptions!$B$61*Assumptions!B63</f>
        <v>7.4999999999999997E-2</v>
      </c>
      <c r="E61" s="196">
        <f>Assumptions!$B$61*Assumptions!B64</f>
        <v>0.15</v>
      </c>
      <c r="F61" s="166"/>
      <c r="G61" s="200">
        <f>Assumptions!$C$61*Assumptions!C62</f>
        <v>0</v>
      </c>
      <c r="H61" s="196">
        <f>Assumptions!$C$61*Assumptions!C63</f>
        <v>0.1</v>
      </c>
      <c r="I61" s="196">
        <f>Assumptions!$C$61*Assumptions!C64</f>
        <v>0.2</v>
      </c>
    </row>
    <row r="62" spans="1:13" s="75" customFormat="1" ht="15" customHeight="1">
      <c r="A62" s="87" t="s">
        <v>87</v>
      </c>
      <c r="B62" s="168"/>
      <c r="C62" s="195">
        <f>C58-(C61*C58)</f>
        <v>1000000</v>
      </c>
      <c r="D62" s="195">
        <f>D58-(D61*D58)</f>
        <v>925000</v>
      </c>
      <c r="E62" s="195">
        <f>E58-(E61*E58)</f>
        <v>850000</v>
      </c>
      <c r="F62" s="166"/>
      <c r="G62" s="195">
        <f>G58-(G61*G58)</f>
        <v>1000000</v>
      </c>
      <c r="H62" s="195">
        <f>H58-(H61*H58)</f>
        <v>900000</v>
      </c>
      <c r="I62" s="195">
        <f>I58-(I61*I58)</f>
        <v>800000</v>
      </c>
      <c r="L62" s="167"/>
      <c r="M62" s="170"/>
    </row>
    <row r="63" spans="1:13" s="75" customFormat="1" ht="15" customHeight="1">
      <c r="A63" s="87"/>
      <c r="B63" s="168"/>
      <c r="C63" s="195"/>
      <c r="D63" s="195"/>
      <c r="E63" s="195"/>
      <c r="F63" s="166"/>
      <c r="G63" s="195"/>
      <c r="H63" s="195"/>
      <c r="I63" s="195"/>
      <c r="L63" s="167"/>
      <c r="M63" s="170"/>
    </row>
    <row r="64" spans="1:13" s="75" customFormat="1" ht="15" customHeight="1">
      <c r="A64" s="87" t="s">
        <v>88</v>
      </c>
      <c r="B64" s="168"/>
      <c r="C64" s="197">
        <f>C62*Assumptions!$B$57</f>
        <v>5000000</v>
      </c>
      <c r="D64" s="197">
        <f>D62*Assumptions!$B$57</f>
        <v>4625000</v>
      </c>
      <c r="E64" s="197">
        <f>E62*Assumptions!$B$57</f>
        <v>4250000</v>
      </c>
      <c r="F64" s="166"/>
      <c r="G64" s="197">
        <f>G62*Assumptions!$B$57</f>
        <v>5000000</v>
      </c>
      <c r="H64" s="197">
        <f>H62*Assumptions!$B$57</f>
        <v>4500000</v>
      </c>
      <c r="I64" s="197">
        <f>I62*Assumptions!$B$57</f>
        <v>4000000</v>
      </c>
    </row>
    <row r="65" spans="1:12" s="75" customFormat="1" ht="15" customHeight="1">
      <c r="A65" s="145" t="s">
        <v>89</v>
      </c>
      <c r="B65" s="171"/>
      <c r="C65" s="198">
        <f>C59-C64</f>
        <v>0</v>
      </c>
      <c r="D65" s="198">
        <f>D59-D64</f>
        <v>375000</v>
      </c>
      <c r="E65" s="198">
        <f>E59-E64</f>
        <v>750000</v>
      </c>
      <c r="F65" s="172"/>
      <c r="G65" s="198">
        <f>G59-G64</f>
        <v>0</v>
      </c>
      <c r="H65" s="198">
        <f>H59-H64</f>
        <v>500000</v>
      </c>
      <c r="I65" s="198">
        <f>I59-I64</f>
        <v>1000000</v>
      </c>
      <c r="L65" s="82"/>
    </row>
    <row r="66" spans="1:12" s="75" customFormat="1" ht="15" customHeight="1" thickBot="1">
      <c r="A66" s="261"/>
      <c r="B66" s="262"/>
      <c r="C66" s="261"/>
      <c r="D66" s="261"/>
      <c r="E66" s="261"/>
      <c r="F66" s="173"/>
      <c r="G66" s="199"/>
      <c r="H66" s="199"/>
      <c r="I66" s="199"/>
    </row>
    <row r="67" spans="1:12" s="75" customFormat="1" ht="15" customHeight="1" thickTop="1" thickBot="1">
      <c r="A67" s="156" t="s">
        <v>90</v>
      </c>
      <c r="B67" s="157"/>
      <c r="C67" s="192">
        <f>C65</f>
        <v>0</v>
      </c>
      <c r="D67" s="192">
        <f>D65</f>
        <v>375000</v>
      </c>
      <c r="E67" s="192">
        <f>E65</f>
        <v>750000</v>
      </c>
      <c r="F67" s="158"/>
      <c r="G67" s="192">
        <f>G65</f>
        <v>0</v>
      </c>
      <c r="H67" s="192">
        <f>H65</f>
        <v>500000</v>
      </c>
      <c r="I67" s="192">
        <f>I65</f>
        <v>1000000</v>
      </c>
    </row>
    <row r="68" spans="1:12" s="75" customFormat="1" ht="15" customHeight="1" thickTop="1">
      <c r="A68" s="86"/>
      <c r="B68" s="159"/>
      <c r="C68" s="174"/>
      <c r="D68" s="174"/>
      <c r="E68" s="174"/>
      <c r="F68" s="175"/>
      <c r="G68" s="174"/>
      <c r="H68" s="174"/>
      <c r="I68" s="174"/>
    </row>
    <row r="69" spans="1:12" s="75" customFormat="1" ht="15" customHeight="1">
      <c r="A69" s="270" t="s">
        <v>91</v>
      </c>
      <c r="B69" s="270"/>
      <c r="C69" s="270"/>
      <c r="D69" s="270"/>
      <c r="E69" s="270"/>
      <c r="F69" s="270"/>
      <c r="G69" s="270"/>
      <c r="H69" s="270"/>
      <c r="I69" s="270"/>
    </row>
    <row r="70" spans="1:12" s="75" customFormat="1" ht="15" customHeight="1" thickBot="1">
      <c r="A70" s="176"/>
      <c r="B70" s="177"/>
      <c r="C70" s="176"/>
      <c r="D70" s="176"/>
      <c r="E70" s="176"/>
      <c r="F70" s="177"/>
      <c r="G70" s="176"/>
      <c r="H70" s="176"/>
      <c r="I70" s="176"/>
    </row>
    <row r="71" spans="1:12" s="147" customFormat="1" ht="15" customHeight="1" thickTop="1" thickBot="1">
      <c r="A71" s="176" t="s">
        <v>92</v>
      </c>
      <c r="B71" s="157"/>
      <c r="C71" s="192">
        <f>C67+C53</f>
        <v>0</v>
      </c>
      <c r="D71" s="192">
        <f>D67+D53</f>
        <v>43467000.000000037</v>
      </c>
      <c r="E71" s="192">
        <f>E67+E53</f>
        <v>82624800.000000075</v>
      </c>
      <c r="F71" s="201"/>
      <c r="G71" s="192">
        <f>G67+G53</f>
        <v>0</v>
      </c>
      <c r="H71" s="192">
        <f>H67+H53</f>
        <v>64909999.999999978</v>
      </c>
      <c r="I71" s="192">
        <f>I67+I53</f>
        <v>133040500</v>
      </c>
    </row>
    <row r="72" spans="1:12" s="147" customFormat="1" ht="15" customHeight="1" thickTop="1">
      <c r="A72" s="75"/>
      <c r="B72" s="75"/>
      <c r="C72" s="75"/>
      <c r="D72" s="75"/>
      <c r="E72" s="75"/>
      <c r="F72" s="75"/>
      <c r="G72" s="75"/>
      <c r="H72" s="178"/>
      <c r="I72" s="178"/>
    </row>
    <row r="73" spans="1:12" ht="50.1" customHeight="1">
      <c r="A73" s="264" t="s">
        <v>48</v>
      </c>
      <c r="B73" s="264"/>
      <c r="C73" s="264"/>
      <c r="D73" s="264"/>
      <c r="E73" s="264"/>
      <c r="F73" s="264"/>
      <c r="G73" s="264"/>
      <c r="H73" s="264"/>
      <c r="I73" s="264"/>
    </row>
  </sheetData>
  <mergeCells count="9">
    <mergeCell ref="C10:E10"/>
    <mergeCell ref="G10:I10"/>
    <mergeCell ref="A73:I73"/>
    <mergeCell ref="A6:I6"/>
    <mergeCell ref="A2:I2"/>
    <mergeCell ref="A11:I11"/>
    <mergeCell ref="A55:I55"/>
    <mergeCell ref="A69:I69"/>
    <mergeCell ref="A8:I8"/>
  </mergeCells>
  <pageMargins left="0.5" right="0.5" top="0.5" bottom="0.75" header="0.5" footer="0.5"/>
  <pageSetup scale="80" orientation="landscape" r:id="rId1"/>
  <headerFooter>
    <oddFooter>&amp;L&amp;"Arial,Regular"&amp;8© 2019, Forrester Research, Inc.&amp;R&amp;"Arial,Regular"&amp;8&amp;P</oddFooter>
  </headerFooter>
  <rowBreaks count="2" manualBreakCount="2">
    <brk id="34" max="8" man="1"/>
    <brk id="52"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M66"/>
  <sheetViews>
    <sheetView zoomScaleNormal="100" workbookViewId="0"/>
  </sheetViews>
  <sheetFormatPr defaultColWidth="9.140625" defaultRowHeight="14.25"/>
  <cols>
    <col min="1" max="1" width="50.7109375" style="245" customWidth="1"/>
    <col min="2" max="2" width="5.7109375" style="248" customWidth="1"/>
    <col min="3" max="5" width="15.7109375" style="248" customWidth="1"/>
    <col min="6" max="6" width="5.7109375" style="248" customWidth="1"/>
    <col min="7" max="9" width="15.7109375" style="245" customWidth="1"/>
    <col min="10" max="10" width="9.140625" style="245"/>
    <col min="11" max="11" width="9.140625" style="245" customWidth="1"/>
    <col min="12" max="16384" width="9.140625" style="245"/>
  </cols>
  <sheetData>
    <row r="1" spans="1:9" s="242" customFormat="1" ht="15" customHeight="1">
      <c r="A1" s="72" t="s">
        <v>0</v>
      </c>
      <c r="B1" s="243"/>
      <c r="C1" s="243"/>
      <c r="D1" s="243"/>
      <c r="E1" s="243"/>
      <c r="F1" s="243"/>
      <c r="G1" s="243"/>
      <c r="H1" s="243"/>
      <c r="I1" s="243"/>
    </row>
    <row r="2" spans="1:9" ht="21" customHeight="1">
      <c r="A2" s="265" t="s">
        <v>1</v>
      </c>
      <c r="B2" s="265"/>
      <c r="C2" s="265"/>
      <c r="D2" s="265"/>
      <c r="E2" s="265"/>
      <c r="F2" s="265"/>
      <c r="G2" s="265"/>
      <c r="H2" s="265"/>
      <c r="I2" s="265"/>
    </row>
    <row r="3" spans="1:9" s="242" customFormat="1" ht="15" customHeight="1">
      <c r="A3" s="250" t="s">
        <v>2</v>
      </c>
      <c r="B3" s="243"/>
      <c r="C3" s="243"/>
      <c r="D3" s="243"/>
      <c r="E3" s="243"/>
      <c r="F3" s="243"/>
      <c r="G3" s="243"/>
      <c r="H3" s="243"/>
      <c r="I3" s="243"/>
    </row>
    <row r="4" spans="1:9" s="242" customFormat="1" ht="15" customHeight="1">
      <c r="A4" s="73" t="s">
        <v>3</v>
      </c>
      <c r="B4" s="243"/>
      <c r="C4" s="243"/>
      <c r="D4" s="243"/>
      <c r="E4" s="243"/>
      <c r="F4" s="243"/>
      <c r="G4" s="243"/>
      <c r="H4" s="243"/>
      <c r="I4" s="243"/>
    </row>
    <row r="5" spans="1:9" s="242" customFormat="1" ht="15" customHeight="1">
      <c r="A5" s="243"/>
    </row>
    <row r="6" spans="1:9" s="242" customFormat="1" ht="15" customHeight="1">
      <c r="A6" s="266" t="s">
        <v>4</v>
      </c>
      <c r="B6" s="266"/>
      <c r="C6" s="266"/>
      <c r="D6" s="266"/>
      <c r="E6" s="266"/>
      <c r="F6" s="266"/>
      <c r="G6" s="266"/>
      <c r="H6" s="266"/>
      <c r="I6" s="266"/>
    </row>
    <row r="7" spans="1:9" s="75" customFormat="1" ht="15" customHeight="1"/>
    <row r="8" spans="1:9" s="75" customFormat="1" ht="15" customHeight="1">
      <c r="A8" s="267" t="s">
        <v>93</v>
      </c>
      <c r="B8" s="267"/>
      <c r="C8" s="267"/>
      <c r="D8" s="267"/>
      <c r="E8" s="267"/>
      <c r="F8" s="267"/>
      <c r="G8" s="267"/>
      <c r="H8" s="267"/>
      <c r="I8" s="267"/>
    </row>
    <row r="9" spans="1:9" s="75" customFormat="1" ht="15" customHeight="1">
      <c r="C9" s="136"/>
      <c r="G9" s="169"/>
    </row>
    <row r="10" spans="1:9" s="75" customFormat="1" ht="15" customHeight="1">
      <c r="B10" s="137"/>
      <c r="C10" s="268" t="s">
        <v>50</v>
      </c>
      <c r="D10" s="268"/>
      <c r="E10" s="268"/>
      <c r="F10" s="163"/>
      <c r="G10" s="268" t="s">
        <v>51</v>
      </c>
      <c r="H10" s="268"/>
      <c r="I10" s="268"/>
    </row>
    <row r="11" spans="1:9" s="75" customFormat="1" ht="15" customHeight="1">
      <c r="A11" s="270" t="s">
        <v>94</v>
      </c>
      <c r="B11" s="270"/>
      <c r="C11" s="270"/>
      <c r="D11" s="270"/>
      <c r="E11" s="270"/>
      <c r="F11" s="270"/>
      <c r="G11" s="270"/>
      <c r="H11" s="270"/>
      <c r="I11" s="270"/>
    </row>
    <row r="12" spans="1:9" s="75" customFormat="1" ht="15" customHeight="1">
      <c r="A12" s="133"/>
      <c r="B12" s="139"/>
      <c r="C12" s="184" t="s">
        <v>53</v>
      </c>
      <c r="D12" s="184" t="s">
        <v>54</v>
      </c>
      <c r="E12" s="184" t="s">
        <v>55</v>
      </c>
      <c r="F12" s="214"/>
      <c r="G12" s="184" t="s">
        <v>53</v>
      </c>
      <c r="H12" s="184" t="s">
        <v>54</v>
      </c>
      <c r="I12" s="184" t="s">
        <v>55</v>
      </c>
    </row>
    <row r="13" spans="1:9" s="75" customFormat="1" ht="15" customHeight="1">
      <c r="A13" s="255" t="s">
        <v>95</v>
      </c>
      <c r="B13" s="148"/>
      <c r="C13" s="215"/>
      <c r="D13" s="215"/>
      <c r="E13" s="215"/>
      <c r="F13" s="216"/>
      <c r="G13" s="215"/>
      <c r="H13" s="215"/>
      <c r="I13" s="215"/>
    </row>
    <row r="14" spans="1:9" s="75" customFormat="1" ht="15" customHeight="1">
      <c r="A14" s="140" t="s">
        <v>96</v>
      </c>
      <c r="B14" s="148"/>
      <c r="C14" s="215"/>
      <c r="D14" s="215"/>
      <c r="E14" s="215"/>
      <c r="F14" s="216"/>
      <c r="G14" s="215"/>
      <c r="H14" s="215"/>
      <c r="I14" s="215"/>
    </row>
    <row r="15" spans="1:9" s="75" customFormat="1" ht="15" customHeight="1">
      <c r="A15" s="93" t="s">
        <v>97</v>
      </c>
      <c r="B15" s="141"/>
      <c r="C15" s="215"/>
      <c r="D15" s="215">
        <v>10</v>
      </c>
      <c r="E15" s="215">
        <v>75</v>
      </c>
      <c r="F15" s="216"/>
      <c r="G15" s="215"/>
      <c r="H15" s="215">
        <v>10</v>
      </c>
      <c r="I15" s="215">
        <v>100</v>
      </c>
    </row>
    <row r="16" spans="1:9" s="75" customFormat="1" ht="15" customHeight="1">
      <c r="A16" s="87" t="s">
        <v>98</v>
      </c>
      <c r="B16" s="205"/>
      <c r="C16" s="188"/>
      <c r="D16" s="188">
        <v>2000</v>
      </c>
      <c r="E16" s="188">
        <v>2000</v>
      </c>
      <c r="F16" s="216"/>
      <c r="G16" s="188"/>
      <c r="H16" s="188">
        <v>3000</v>
      </c>
      <c r="I16" s="188">
        <v>3000</v>
      </c>
    </row>
    <row r="17" spans="1:11" s="75" customFormat="1" ht="15" customHeight="1">
      <c r="A17" s="103"/>
      <c r="B17" s="206"/>
      <c r="C17" s="217"/>
      <c r="D17" s="217"/>
      <c r="E17" s="217"/>
      <c r="F17" s="218"/>
      <c r="G17" s="217"/>
      <c r="H17" s="217"/>
      <c r="I17" s="217"/>
    </row>
    <row r="18" spans="1:11" s="75" customFormat="1" ht="15" customHeight="1">
      <c r="A18" s="207" t="s">
        <v>99</v>
      </c>
      <c r="B18" s="208"/>
      <c r="C18" s="219">
        <f>C15*C16</f>
        <v>0</v>
      </c>
      <c r="D18" s="219">
        <f>D15*D16</f>
        <v>20000</v>
      </c>
      <c r="E18" s="219">
        <f>E15*E16</f>
        <v>150000</v>
      </c>
      <c r="F18" s="220"/>
      <c r="G18" s="219">
        <f>G15*G16</f>
        <v>0</v>
      </c>
      <c r="H18" s="219">
        <f>H15*H16</f>
        <v>30000</v>
      </c>
      <c r="I18" s="219">
        <f>I15*I16</f>
        <v>300000</v>
      </c>
    </row>
    <row r="19" spans="1:11" s="75" customFormat="1" ht="15" customHeight="1">
      <c r="A19" s="255" t="s">
        <v>100</v>
      </c>
      <c r="B19" s="148"/>
      <c r="C19" s="215"/>
      <c r="D19" s="215"/>
      <c r="E19" s="215"/>
      <c r="F19" s="216"/>
      <c r="G19" s="215"/>
      <c r="H19" s="215"/>
      <c r="I19" s="215"/>
    </row>
    <row r="20" spans="1:11" s="75" customFormat="1" ht="15" customHeight="1">
      <c r="A20" s="140" t="s">
        <v>101</v>
      </c>
      <c r="B20" s="148"/>
      <c r="C20" s="215"/>
      <c r="D20" s="215"/>
      <c r="E20" s="215"/>
      <c r="F20" s="216"/>
      <c r="G20" s="215"/>
      <c r="H20" s="215"/>
      <c r="I20" s="215"/>
    </row>
    <row r="21" spans="1:11" s="75" customFormat="1" ht="15" customHeight="1">
      <c r="A21" s="87" t="s">
        <v>102</v>
      </c>
      <c r="B21" s="205"/>
      <c r="C21" s="188">
        <v>15000000</v>
      </c>
      <c r="D21" s="188">
        <v>0</v>
      </c>
      <c r="E21" s="188">
        <v>0</v>
      </c>
      <c r="F21" s="221"/>
      <c r="G21" s="188">
        <v>20000000</v>
      </c>
      <c r="H21" s="188">
        <v>0</v>
      </c>
      <c r="I21" s="188">
        <v>0</v>
      </c>
    </row>
    <row r="22" spans="1:11" s="75" customFormat="1" ht="15" customHeight="1">
      <c r="A22" s="210"/>
      <c r="B22" s="211"/>
      <c r="C22" s="217"/>
      <c r="D22" s="217"/>
      <c r="E22" s="217"/>
      <c r="F22" s="218"/>
      <c r="G22" s="217"/>
      <c r="H22" s="217"/>
      <c r="I22" s="217"/>
    </row>
    <row r="23" spans="1:11" s="75" customFormat="1" ht="15" customHeight="1">
      <c r="A23" s="207" t="s">
        <v>103</v>
      </c>
      <c r="B23" s="208"/>
      <c r="C23" s="222">
        <f>SUM(C21:C21)</f>
        <v>15000000</v>
      </c>
      <c r="D23" s="222">
        <f>SUM(D21:D21)</f>
        <v>0</v>
      </c>
      <c r="E23" s="222">
        <f>SUM(E21:E21)</f>
        <v>0</v>
      </c>
      <c r="F23" s="231"/>
      <c r="G23" s="222">
        <f>SUM(G21:G21)</f>
        <v>20000000</v>
      </c>
      <c r="H23" s="222">
        <f>SUM(H21:H21)</f>
        <v>0</v>
      </c>
      <c r="I23" s="222">
        <f>SUM(I21:I21)</f>
        <v>0</v>
      </c>
    </row>
    <row r="24" spans="1:11" s="75" customFormat="1" ht="15" customHeight="1">
      <c r="A24" s="255" t="s">
        <v>104</v>
      </c>
      <c r="B24" s="148"/>
      <c r="C24" s="215"/>
      <c r="D24" s="215"/>
      <c r="E24" s="215"/>
      <c r="F24" s="216"/>
      <c r="G24" s="215"/>
      <c r="H24" s="215"/>
      <c r="I24" s="215"/>
    </row>
    <row r="25" spans="1:11" s="75" customFormat="1" ht="15" customHeight="1">
      <c r="A25" s="140" t="s">
        <v>105</v>
      </c>
      <c r="B25" s="148"/>
      <c r="C25" s="215"/>
      <c r="D25" s="215"/>
      <c r="E25" s="215"/>
      <c r="F25" s="216"/>
      <c r="G25" s="215"/>
      <c r="H25" s="215"/>
      <c r="I25" s="215"/>
    </row>
    <row r="26" spans="1:11" s="75" customFormat="1" ht="15" customHeight="1">
      <c r="A26" s="106" t="s">
        <v>106</v>
      </c>
      <c r="B26" s="205"/>
      <c r="C26" s="191">
        <v>0</v>
      </c>
      <c r="D26" s="179">
        <v>10</v>
      </c>
      <c r="E26" s="179">
        <v>5</v>
      </c>
      <c r="F26" s="223"/>
      <c r="G26" s="179">
        <v>0</v>
      </c>
      <c r="H26" s="179">
        <v>15</v>
      </c>
      <c r="I26" s="179">
        <v>10</v>
      </c>
    </row>
    <row r="27" spans="1:11" s="75" customFormat="1" ht="15" customHeight="1">
      <c r="A27" s="93" t="s">
        <v>107</v>
      </c>
      <c r="B27" s="205"/>
      <c r="C27" s="180"/>
      <c r="D27" s="180">
        <v>1</v>
      </c>
      <c r="E27" s="180">
        <v>1</v>
      </c>
      <c r="F27" s="224"/>
      <c r="G27" s="180"/>
      <c r="H27" s="180">
        <v>1</v>
      </c>
      <c r="I27" s="180">
        <v>1</v>
      </c>
    </row>
    <row r="28" spans="1:11" s="75" customFormat="1" ht="15" customHeight="1">
      <c r="A28" s="87" t="s">
        <v>108</v>
      </c>
      <c r="B28" s="205"/>
      <c r="C28" s="188">
        <v>0</v>
      </c>
      <c r="D28" s="188">
        <v>90000</v>
      </c>
      <c r="E28" s="188">
        <v>90000</v>
      </c>
      <c r="F28" s="221"/>
      <c r="G28" s="188">
        <v>0</v>
      </c>
      <c r="H28" s="188">
        <v>90000</v>
      </c>
      <c r="I28" s="188">
        <v>90000</v>
      </c>
      <c r="K28" s="102"/>
    </row>
    <row r="29" spans="1:11" s="75" customFormat="1" ht="15" customHeight="1">
      <c r="A29" s="87"/>
      <c r="B29" s="205"/>
      <c r="C29" s="188"/>
      <c r="D29" s="188"/>
      <c r="E29" s="188"/>
      <c r="F29" s="221"/>
      <c r="G29" s="188"/>
      <c r="H29" s="188"/>
      <c r="I29" s="188"/>
      <c r="K29" s="102"/>
    </row>
    <row r="30" spans="1:11" s="75" customFormat="1" ht="15" customHeight="1">
      <c r="A30" s="151" t="s">
        <v>109</v>
      </c>
      <c r="B30" s="205"/>
      <c r="C30" s="188"/>
      <c r="D30" s="188">
        <v>100000</v>
      </c>
      <c r="E30" s="188"/>
      <c r="F30" s="221"/>
      <c r="G30" s="188"/>
      <c r="H30" s="188">
        <v>200000</v>
      </c>
      <c r="I30" s="188"/>
      <c r="K30" s="102"/>
    </row>
    <row r="31" spans="1:11" s="75" customFormat="1" ht="15" customHeight="1">
      <c r="A31" s="212"/>
      <c r="B31" s="149"/>
      <c r="C31" s="225"/>
      <c r="D31" s="225"/>
      <c r="E31" s="225"/>
      <c r="F31" s="221"/>
      <c r="G31" s="225"/>
      <c r="H31" s="225"/>
      <c r="I31" s="225"/>
    </row>
    <row r="32" spans="1:11" s="75" customFormat="1" ht="15" customHeight="1">
      <c r="A32" s="207" t="s">
        <v>110</v>
      </c>
      <c r="B32" s="208"/>
      <c r="C32" s="219">
        <f>(C26*C27*C28)+C30</f>
        <v>0</v>
      </c>
      <c r="D32" s="219">
        <f>(D26*D27*D28)+D30</f>
        <v>1000000</v>
      </c>
      <c r="E32" s="219">
        <f>(E26*E27*E28)+E30</f>
        <v>450000</v>
      </c>
      <c r="F32" s="231"/>
      <c r="G32" s="219">
        <f>(G26*G27*G28)+G30</f>
        <v>0</v>
      </c>
      <c r="H32" s="219">
        <f>(H26*H27*H28)+H30</f>
        <v>1550000</v>
      </c>
      <c r="I32" s="219">
        <f>(I26*I27*I28)+I30</f>
        <v>900000</v>
      </c>
    </row>
    <row r="33" spans="1:11" s="75" customFormat="1" ht="15" customHeight="1">
      <c r="A33" s="255" t="s">
        <v>111</v>
      </c>
      <c r="B33" s="206"/>
      <c r="C33" s="226"/>
      <c r="D33" s="226"/>
      <c r="E33" s="226"/>
      <c r="F33" s="227"/>
      <c r="G33" s="226"/>
      <c r="H33" s="226"/>
      <c r="I33" s="226"/>
    </row>
    <row r="34" spans="1:11" s="75" customFormat="1" ht="15" customHeight="1">
      <c r="A34" s="151" t="s">
        <v>111</v>
      </c>
      <c r="B34" s="206"/>
      <c r="C34" s="217">
        <v>0</v>
      </c>
      <c r="D34" s="217">
        <v>0</v>
      </c>
      <c r="E34" s="217">
        <v>0</v>
      </c>
      <c r="F34" s="227"/>
      <c r="G34" s="217">
        <v>0</v>
      </c>
      <c r="H34" s="217">
        <v>0</v>
      </c>
      <c r="I34" s="217">
        <v>0</v>
      </c>
      <c r="K34" s="213"/>
    </row>
    <row r="35" spans="1:11" s="75" customFormat="1" ht="15" customHeight="1">
      <c r="A35" s="106"/>
      <c r="B35" s="206"/>
      <c r="C35" s="217"/>
      <c r="D35" s="217"/>
      <c r="E35" s="217"/>
      <c r="F35" s="227"/>
      <c r="G35" s="217"/>
      <c r="H35" s="217"/>
      <c r="I35" s="217"/>
      <c r="K35" s="213"/>
    </row>
    <row r="36" spans="1:11" s="75" customFormat="1" ht="15" customHeight="1">
      <c r="A36" s="209" t="s">
        <v>112</v>
      </c>
      <c r="B36" s="208"/>
      <c r="C36" s="219">
        <f>C34</f>
        <v>0</v>
      </c>
      <c r="D36" s="219">
        <f t="shared" ref="D36:E36" si="0">D34</f>
        <v>0</v>
      </c>
      <c r="E36" s="219">
        <f t="shared" si="0"/>
        <v>0</v>
      </c>
      <c r="F36" s="220"/>
      <c r="G36" s="219">
        <f>G34</f>
        <v>0</v>
      </c>
      <c r="H36" s="219">
        <f t="shared" ref="H36:I36" si="1">H34</f>
        <v>0</v>
      </c>
      <c r="I36" s="219">
        <f t="shared" si="1"/>
        <v>0</v>
      </c>
    </row>
    <row r="37" spans="1:11" s="75" customFormat="1" ht="15" customHeight="1">
      <c r="A37" s="255" t="s">
        <v>113</v>
      </c>
      <c r="B37" s="206"/>
      <c r="C37" s="178"/>
      <c r="D37" s="178"/>
      <c r="E37" s="178"/>
      <c r="F37" s="161"/>
      <c r="G37" s="178"/>
      <c r="H37" s="178"/>
      <c r="I37" s="178"/>
    </row>
    <row r="38" spans="1:11" s="75" customFormat="1" ht="15" customHeight="1">
      <c r="A38" s="140" t="s">
        <v>114</v>
      </c>
      <c r="B38" s="206"/>
      <c r="C38" s="226"/>
      <c r="D38" s="226"/>
      <c r="E38" s="226"/>
      <c r="F38" s="227"/>
      <c r="G38" s="226"/>
      <c r="H38" s="226"/>
      <c r="I38" s="226"/>
    </row>
    <row r="39" spans="1:11" s="75" customFormat="1" ht="15" customHeight="1">
      <c r="A39" s="106" t="s">
        <v>115</v>
      </c>
      <c r="B39" s="206"/>
      <c r="C39" s="215">
        <v>2</v>
      </c>
      <c r="D39" s="215">
        <v>2</v>
      </c>
      <c r="E39" s="215">
        <v>2</v>
      </c>
      <c r="F39" s="227"/>
      <c r="G39" s="215">
        <v>4</v>
      </c>
      <c r="H39" s="215">
        <v>4</v>
      </c>
      <c r="I39" s="215">
        <v>4</v>
      </c>
    </row>
    <row r="40" spans="1:11" s="75" customFormat="1" ht="15" customHeight="1">
      <c r="A40" s="93" t="s">
        <v>116</v>
      </c>
      <c r="B40" s="206"/>
      <c r="C40" s="228">
        <v>0.8</v>
      </c>
      <c r="D40" s="228">
        <v>0.8</v>
      </c>
      <c r="E40" s="228">
        <v>0.8</v>
      </c>
      <c r="F40" s="227"/>
      <c r="G40" s="228">
        <v>1</v>
      </c>
      <c r="H40" s="228">
        <v>1</v>
      </c>
      <c r="I40" s="228">
        <v>1</v>
      </c>
    </row>
    <row r="41" spans="1:11" s="75" customFormat="1" ht="15" customHeight="1">
      <c r="A41" s="87" t="s">
        <v>108</v>
      </c>
      <c r="B41" s="206"/>
      <c r="C41" s="229">
        <v>300000</v>
      </c>
      <c r="D41" s="229">
        <v>300000</v>
      </c>
      <c r="E41" s="229">
        <v>300000</v>
      </c>
      <c r="F41" s="230"/>
      <c r="G41" s="229">
        <v>300000</v>
      </c>
      <c r="H41" s="229">
        <v>300000</v>
      </c>
      <c r="I41" s="229">
        <v>300000</v>
      </c>
    </row>
    <row r="42" spans="1:11" s="75" customFormat="1" ht="15" customHeight="1">
      <c r="A42" s="87"/>
      <c r="B42" s="206"/>
      <c r="C42" s="229"/>
      <c r="D42" s="229"/>
      <c r="E42" s="229"/>
      <c r="F42" s="230"/>
      <c r="G42" s="229"/>
      <c r="H42" s="229"/>
      <c r="I42" s="229"/>
    </row>
    <row r="43" spans="1:11" s="75" customFormat="1" ht="15" customHeight="1">
      <c r="A43" s="106" t="s">
        <v>106</v>
      </c>
      <c r="B43" s="206"/>
      <c r="C43" s="215">
        <v>3</v>
      </c>
      <c r="D43" s="215">
        <v>3</v>
      </c>
      <c r="E43" s="215">
        <v>3</v>
      </c>
      <c r="F43" s="227"/>
      <c r="G43" s="215">
        <v>6</v>
      </c>
      <c r="H43" s="215">
        <v>6</v>
      </c>
      <c r="I43" s="215">
        <v>6</v>
      </c>
    </row>
    <row r="44" spans="1:11" s="75" customFormat="1" ht="15" customHeight="1">
      <c r="A44" s="93" t="s">
        <v>107</v>
      </c>
      <c r="B44" s="206"/>
      <c r="C44" s="228">
        <v>0.8</v>
      </c>
      <c r="D44" s="228">
        <v>0.8</v>
      </c>
      <c r="E44" s="228">
        <v>0.8</v>
      </c>
      <c r="F44" s="227"/>
      <c r="G44" s="228">
        <v>1</v>
      </c>
      <c r="H44" s="228">
        <v>1</v>
      </c>
      <c r="I44" s="228">
        <v>1</v>
      </c>
    </row>
    <row r="45" spans="1:11" s="75" customFormat="1" ht="15" customHeight="1">
      <c r="A45" s="151" t="s">
        <v>108</v>
      </c>
      <c r="B45" s="206"/>
      <c r="C45" s="229">
        <v>80000</v>
      </c>
      <c r="D45" s="229">
        <v>80000</v>
      </c>
      <c r="E45" s="229">
        <v>80000</v>
      </c>
      <c r="F45" s="230"/>
      <c r="G45" s="229">
        <v>80000</v>
      </c>
      <c r="H45" s="229">
        <v>80000</v>
      </c>
      <c r="I45" s="229">
        <v>80000</v>
      </c>
    </row>
    <row r="46" spans="1:11" s="75" customFormat="1" ht="15" customHeight="1">
      <c r="A46" s="106"/>
      <c r="B46" s="206"/>
      <c r="C46" s="229"/>
      <c r="D46" s="229"/>
      <c r="E46" s="229"/>
      <c r="F46" s="230"/>
      <c r="G46" s="229"/>
      <c r="H46" s="229"/>
      <c r="I46" s="229"/>
    </row>
    <row r="47" spans="1:11" s="75" customFormat="1" ht="15" customHeight="1">
      <c r="A47" s="209" t="s">
        <v>117</v>
      </c>
      <c r="B47" s="208"/>
      <c r="C47" s="219">
        <f>(C39*C40*C41)+(C43*C44*C45)</f>
        <v>672000</v>
      </c>
      <c r="D47" s="219">
        <f>(D39*D40*D41)+(D43*D44*D45)</f>
        <v>672000</v>
      </c>
      <c r="E47" s="219">
        <f>(E39*E40*E41)+(E43*E44*E45)</f>
        <v>672000</v>
      </c>
      <c r="F47" s="220"/>
      <c r="G47" s="219">
        <f>(G39*G40*G41)+(G43*G44*G45)</f>
        <v>1680000</v>
      </c>
      <c r="H47" s="219">
        <f>(H39*H40*H41)+(H43*H44*H45)</f>
        <v>1680000</v>
      </c>
      <c r="I47" s="219">
        <f>(I39*I40*I41)+(I43*I44*I45)</f>
        <v>1680000</v>
      </c>
    </row>
    <row r="48" spans="1:11" s="75" customFormat="1" ht="15" customHeight="1">
      <c r="A48" s="103"/>
      <c r="B48" s="206"/>
      <c r="C48" s="178"/>
      <c r="D48" s="178"/>
      <c r="E48" s="178"/>
      <c r="F48" s="161"/>
      <c r="G48" s="178"/>
      <c r="H48" s="178"/>
      <c r="I48" s="178"/>
    </row>
    <row r="49" spans="1:13" s="75" customFormat="1" ht="15" customHeight="1">
      <c r="A49" s="270" t="s">
        <v>118</v>
      </c>
      <c r="B49" s="270"/>
      <c r="C49" s="270"/>
      <c r="D49" s="270"/>
      <c r="E49" s="270"/>
      <c r="F49" s="270"/>
      <c r="G49" s="270"/>
      <c r="H49" s="270"/>
      <c r="I49" s="270"/>
    </row>
    <row r="50" spans="1:13" s="75" customFormat="1" ht="15" customHeight="1" thickBot="1">
      <c r="A50" s="176"/>
      <c r="B50" s="177"/>
      <c r="C50" s="176"/>
      <c r="D50" s="176"/>
      <c r="E50" s="176"/>
      <c r="F50" s="177"/>
      <c r="G50" s="176"/>
      <c r="H50" s="176"/>
      <c r="I50" s="176"/>
    </row>
    <row r="51" spans="1:13" s="147" customFormat="1" ht="15" customHeight="1" thickTop="1" thickBot="1">
      <c r="A51" s="176" t="s">
        <v>92</v>
      </c>
      <c r="B51" s="157"/>
      <c r="C51" s="192">
        <f>C18+C23+C32+C36+C47</f>
        <v>15672000</v>
      </c>
      <c r="D51" s="192">
        <f>D18+D23+D32+D36+D47</f>
        <v>1692000</v>
      </c>
      <c r="E51" s="192">
        <f>E18+E23+E32+E36+E47</f>
        <v>1272000</v>
      </c>
      <c r="F51" s="193"/>
      <c r="G51" s="192">
        <f>G18+G23+G32+G36+G47</f>
        <v>21680000</v>
      </c>
      <c r="H51" s="192">
        <f>H18+H23+H32+H36+H47</f>
        <v>3260000</v>
      </c>
      <c r="I51" s="192">
        <f>I18+I23+I32+I36+I47</f>
        <v>2880000</v>
      </c>
      <c r="J51" s="75"/>
      <c r="K51" s="75"/>
      <c r="L51" s="75"/>
      <c r="M51" s="75"/>
    </row>
    <row r="52" spans="1:13" s="75" customFormat="1" ht="15" customHeight="1" thickTop="1">
      <c r="B52" s="102"/>
      <c r="C52" s="102"/>
      <c r="D52" s="102"/>
      <c r="E52" s="102"/>
      <c r="F52" s="102"/>
    </row>
    <row r="53" spans="1:13" ht="50.1" customHeight="1">
      <c r="A53" s="264" t="s">
        <v>48</v>
      </c>
      <c r="B53" s="264"/>
      <c r="C53" s="264"/>
      <c r="D53" s="264"/>
      <c r="E53" s="264"/>
      <c r="F53" s="264"/>
      <c r="G53" s="264"/>
      <c r="H53" s="264"/>
      <c r="I53" s="264"/>
    </row>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row r="64" spans="1:13" ht="15" customHeight="1"/>
    <row r="65" spans="1:5" ht="15" customHeight="1"/>
    <row r="66" spans="1:5" ht="39.950000000000003" customHeight="1">
      <c r="A66" s="260"/>
      <c r="B66" s="259"/>
      <c r="C66" s="259"/>
      <c r="D66" s="259"/>
      <c r="E66" s="259"/>
    </row>
  </sheetData>
  <mergeCells count="8">
    <mergeCell ref="G10:I10"/>
    <mergeCell ref="C10:E10"/>
    <mergeCell ref="A53:I53"/>
    <mergeCell ref="A6:I6"/>
    <mergeCell ref="A2:I2"/>
    <mergeCell ref="A49:I49"/>
    <mergeCell ref="A11:I11"/>
    <mergeCell ref="A8:I8"/>
  </mergeCells>
  <pageMargins left="0.5" right="0.5" top="0.5" bottom="0.75" header="0.5" footer="0.5"/>
  <pageSetup scale="81" orientation="landscape" r:id="rId1"/>
  <headerFooter>
    <oddFooter>&amp;L&amp;"Arial,Regular"&amp;8© 2019, Forrester Research, Inc.&amp;R&amp;"Arial,Regular"&amp;8&amp;P</oddFooter>
  </headerFooter>
  <rowBreaks count="1" manualBreakCount="1">
    <brk id="32" max="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
  <sheetViews>
    <sheetView zoomScaleNormal="100" workbookViewId="0"/>
  </sheetViews>
  <sheetFormatPr defaultColWidth="9.140625" defaultRowHeight="14.25"/>
  <cols>
    <col min="1" max="1" width="20.7109375" style="245" customWidth="1"/>
    <col min="2" max="2" width="25.7109375" style="245" customWidth="1"/>
    <col min="3" max="3" width="5.7109375" style="245" customWidth="1"/>
    <col min="4" max="6" width="15.7109375" style="245" customWidth="1"/>
    <col min="7" max="7" width="20.7109375" style="245" customWidth="1"/>
    <col min="8" max="16384" width="9.140625" style="245"/>
  </cols>
  <sheetData>
    <row r="1" spans="1:7" s="242" customFormat="1" ht="15" customHeight="1">
      <c r="A1" s="72" t="s">
        <v>0</v>
      </c>
    </row>
    <row r="2" spans="1:7" ht="21" customHeight="1">
      <c r="A2" s="265" t="s">
        <v>1</v>
      </c>
      <c r="B2" s="265"/>
      <c r="C2" s="265"/>
      <c r="D2" s="265"/>
      <c r="E2" s="265"/>
      <c r="F2" s="265"/>
      <c r="G2" s="265"/>
    </row>
    <row r="3" spans="1:7" s="242" customFormat="1" ht="15" customHeight="1">
      <c r="A3" s="250" t="s">
        <v>2</v>
      </c>
    </row>
    <row r="4" spans="1:7" s="242" customFormat="1" ht="15" customHeight="1">
      <c r="A4" s="73" t="s">
        <v>3</v>
      </c>
    </row>
    <row r="5" spans="1:7" s="242" customFormat="1" ht="15" customHeight="1">
      <c r="A5" s="243"/>
    </row>
    <row r="6" spans="1:7" s="242" customFormat="1" ht="15" customHeight="1">
      <c r="A6" s="266" t="s">
        <v>4</v>
      </c>
      <c r="B6" s="266"/>
      <c r="C6" s="266"/>
      <c r="D6" s="266"/>
      <c r="E6" s="266"/>
      <c r="F6" s="266"/>
      <c r="G6" s="266"/>
    </row>
    <row r="7" spans="1:7" s="75" customFormat="1" ht="15" customHeight="1"/>
    <row r="8" spans="1:7" s="75" customFormat="1" ht="15" customHeight="1">
      <c r="A8" s="267" t="s">
        <v>119</v>
      </c>
      <c r="B8" s="267"/>
      <c r="C8" s="267"/>
      <c r="D8" s="267"/>
      <c r="E8" s="267"/>
      <c r="F8" s="267"/>
      <c r="G8" s="267"/>
    </row>
    <row r="9" spans="1:7" s="75" customFormat="1" ht="15" customHeight="1"/>
    <row r="10" spans="1:7" s="75" customFormat="1" ht="15" customHeight="1">
      <c r="A10" s="269" t="s">
        <v>120</v>
      </c>
      <c r="B10" s="269"/>
      <c r="C10" s="269"/>
      <c r="D10" s="269"/>
      <c r="E10" s="269"/>
      <c r="F10" s="269"/>
      <c r="G10" s="269"/>
    </row>
    <row r="11" spans="1:7" s="75" customFormat="1" ht="15" customHeight="1">
      <c r="A11" s="133"/>
      <c r="B11" s="133"/>
      <c r="C11" s="139"/>
      <c r="D11" s="184" t="s">
        <v>121</v>
      </c>
      <c r="E11" s="184" t="s">
        <v>122</v>
      </c>
      <c r="F11" s="184" t="s">
        <v>123</v>
      </c>
      <c r="G11" s="184" t="s">
        <v>124</v>
      </c>
    </row>
    <row r="12" spans="1:7" s="75" customFormat="1" ht="15" customHeight="1">
      <c r="B12" s="75" t="str">
        <f>Benefits!A13</f>
        <v>Retention</v>
      </c>
      <c r="C12" s="141"/>
      <c r="D12" s="180">
        <v>1</v>
      </c>
      <c r="E12" s="180">
        <v>1.1000000000000001</v>
      </c>
      <c r="F12" s="180">
        <v>0.75</v>
      </c>
      <c r="G12" s="180">
        <f>(E12+F12)/2</f>
        <v>0.92500000000000004</v>
      </c>
    </row>
    <row r="13" spans="1:7" s="75" customFormat="1" ht="15" customHeight="1">
      <c r="B13" s="256" t="s">
        <v>23</v>
      </c>
      <c r="C13" s="141"/>
      <c r="D13" s="180">
        <v>1</v>
      </c>
      <c r="E13" s="180">
        <v>1.1000000000000001</v>
      </c>
      <c r="F13" s="180">
        <v>0.75</v>
      </c>
      <c r="G13" s="180">
        <f t="shared" ref="G13:G15" si="0">(E13+F13)/2</f>
        <v>0.92500000000000004</v>
      </c>
    </row>
    <row r="14" spans="1:7" s="75" customFormat="1" ht="15" customHeight="1">
      <c r="B14" s="75" t="str">
        <f>Benefits!A35</f>
        <v>Recommendation</v>
      </c>
      <c r="C14" s="141"/>
      <c r="D14" s="180">
        <v>1</v>
      </c>
      <c r="E14" s="180">
        <v>1.1000000000000001</v>
      </c>
      <c r="F14" s="180">
        <v>0.5</v>
      </c>
      <c r="G14" s="180">
        <f t="shared" si="0"/>
        <v>0.8</v>
      </c>
    </row>
    <row r="15" spans="1:7" s="75" customFormat="1" ht="15" customHeight="1">
      <c r="B15" s="75" t="str">
        <f>Benefits!A57</f>
        <v>Call center cost savings</v>
      </c>
      <c r="C15" s="141"/>
      <c r="D15" s="180">
        <v>1</v>
      </c>
      <c r="E15" s="180">
        <v>1.1000000000000001</v>
      </c>
      <c r="F15" s="180">
        <v>0.9</v>
      </c>
      <c r="G15" s="180">
        <f t="shared" si="0"/>
        <v>1</v>
      </c>
    </row>
    <row r="16" spans="1:7" s="75" customFormat="1" ht="15" customHeight="1">
      <c r="C16" s="141"/>
      <c r="D16" s="169"/>
      <c r="E16" s="169"/>
      <c r="F16" s="169"/>
      <c r="G16" s="169"/>
    </row>
    <row r="17" spans="1:7" s="75" customFormat="1" ht="15" customHeight="1">
      <c r="A17" s="269" t="s">
        <v>125</v>
      </c>
      <c r="B17" s="269"/>
      <c r="C17" s="269"/>
      <c r="D17" s="269"/>
      <c r="E17" s="269"/>
      <c r="F17" s="269"/>
      <c r="G17" s="269"/>
    </row>
    <row r="18" spans="1:7" s="75" customFormat="1" ht="15" customHeight="1">
      <c r="A18" s="133"/>
      <c r="B18" s="133"/>
      <c r="C18" s="139"/>
      <c r="D18" s="184" t="s">
        <v>121</v>
      </c>
      <c r="E18" s="184" t="s">
        <v>122</v>
      </c>
      <c r="F18" s="184" t="s">
        <v>123</v>
      </c>
      <c r="G18" s="184" t="s">
        <v>124</v>
      </c>
    </row>
    <row r="19" spans="1:7" s="75" customFormat="1" ht="15" customHeight="1">
      <c r="B19" s="75" t="str">
        <f>Costs!A13</f>
        <v>Training costs</v>
      </c>
      <c r="C19" s="141"/>
      <c r="D19" s="180">
        <v>1</v>
      </c>
      <c r="E19" s="180">
        <v>0.95</v>
      </c>
      <c r="F19" s="180">
        <v>1.25</v>
      </c>
      <c r="G19" s="180">
        <f>(E19+F19)/2</f>
        <v>1.1000000000000001</v>
      </c>
    </row>
    <row r="20" spans="1:7" s="75" customFormat="1" ht="15" customHeight="1">
      <c r="B20" s="75" t="str">
        <f>Costs!A19</f>
        <v>Technology costs</v>
      </c>
      <c r="C20" s="141"/>
      <c r="D20" s="180">
        <v>1</v>
      </c>
      <c r="E20" s="180">
        <v>0.95</v>
      </c>
      <c r="F20" s="180">
        <v>1.25</v>
      </c>
      <c r="G20" s="180">
        <f t="shared" ref="G20:G22" si="1">(E20+F20)/2</f>
        <v>1.1000000000000001</v>
      </c>
    </row>
    <row r="21" spans="1:7" s="75" customFormat="1" ht="15" customHeight="1">
      <c r="B21" s="75" t="str">
        <f>Costs!A24</f>
        <v>Touchpoint redesign costs</v>
      </c>
      <c r="C21" s="141"/>
      <c r="D21" s="180">
        <v>1</v>
      </c>
      <c r="E21" s="180">
        <v>0.95</v>
      </c>
      <c r="F21" s="180">
        <v>1.25</v>
      </c>
      <c r="G21" s="180">
        <f t="shared" si="1"/>
        <v>1.1000000000000001</v>
      </c>
    </row>
    <row r="22" spans="1:7" s="75" customFormat="1" ht="15" customHeight="1">
      <c r="B22" s="75" t="str">
        <f>Costs!A33</f>
        <v>Professional services</v>
      </c>
      <c r="C22" s="141"/>
      <c r="D22" s="180">
        <v>1</v>
      </c>
      <c r="E22" s="180">
        <v>0.95</v>
      </c>
      <c r="F22" s="180">
        <v>1.25</v>
      </c>
      <c r="G22" s="180">
        <f t="shared" si="1"/>
        <v>1.1000000000000001</v>
      </c>
    </row>
    <row r="23" spans="1:7" s="75" customFormat="1" ht="15" customHeight="1">
      <c r="B23" s="75" t="str">
        <f>Costs!A37</f>
        <v>Program operation costs</v>
      </c>
      <c r="C23" s="141"/>
      <c r="D23" s="180">
        <v>1</v>
      </c>
      <c r="E23" s="180">
        <v>0.95</v>
      </c>
      <c r="F23" s="180">
        <v>1.25</v>
      </c>
      <c r="G23" s="180">
        <f t="shared" ref="G23" si="2">(E23+F23)/2</f>
        <v>1.1000000000000001</v>
      </c>
    </row>
    <row r="24" spans="1:7" s="75" customFormat="1" ht="15" customHeight="1"/>
    <row r="25" spans="1:7" ht="60" customHeight="1">
      <c r="A25" s="264" t="s">
        <v>48</v>
      </c>
      <c r="B25" s="264"/>
      <c r="C25" s="264"/>
      <c r="D25" s="264"/>
      <c r="E25" s="264"/>
      <c r="F25" s="264"/>
      <c r="G25" s="264"/>
    </row>
    <row r="26" spans="1:7" ht="15" customHeight="1"/>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5" ht="15" customHeight="1"/>
    <row r="50" spans="1:5" ht="15" customHeight="1"/>
    <row r="51" spans="1:5" ht="15" customHeight="1"/>
    <row r="52" spans="1:5" ht="15" customHeight="1"/>
    <row r="53" spans="1:5" ht="15" customHeight="1"/>
    <row r="54" spans="1:5" ht="15" customHeight="1"/>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39.950000000000003" customHeight="1">
      <c r="A64" s="260"/>
      <c r="B64" s="260"/>
      <c r="C64" s="260"/>
      <c r="D64" s="260"/>
      <c r="E64" s="260"/>
    </row>
  </sheetData>
  <mergeCells count="6">
    <mergeCell ref="A25:G25"/>
    <mergeCell ref="A2:G2"/>
    <mergeCell ref="A6:G6"/>
    <mergeCell ref="A8:G8"/>
    <mergeCell ref="A10:G10"/>
    <mergeCell ref="A17:G17"/>
  </mergeCells>
  <pageMargins left="0.5" right="0.5" top="0.5" bottom="0.75" header="0.5" footer="0.5"/>
  <pageSetup orientation="landscape" r:id="rId1"/>
  <headerFooter>
    <oddFooter>&amp;L&amp;"Arial,Regular"&amp;8© 2019, Forrester Research, Inc.&amp;R&amp;"Arial,Regular"&amp;8&amp;P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J66"/>
  <sheetViews>
    <sheetView zoomScaleNormal="100" workbookViewId="0"/>
  </sheetViews>
  <sheetFormatPr defaultColWidth="9.140625" defaultRowHeight="14.25"/>
  <cols>
    <col min="1" max="1" width="25.7109375" style="248" customWidth="1"/>
    <col min="2" max="2" width="5.7109375" style="248" customWidth="1"/>
    <col min="3" max="6" width="15.7109375" style="248" customWidth="1"/>
    <col min="7" max="10" width="9.140625" style="248" customWidth="1"/>
    <col min="11" max="16384" width="9.140625" style="248"/>
  </cols>
  <sheetData>
    <row r="1" spans="1:10" s="247" customFormat="1" ht="15" customHeight="1">
      <c r="A1" s="72" t="s">
        <v>0</v>
      </c>
    </row>
    <row r="2" spans="1:10" ht="21" customHeight="1">
      <c r="A2" s="265" t="s">
        <v>1</v>
      </c>
      <c r="B2" s="265"/>
      <c r="C2" s="265"/>
      <c r="D2" s="265"/>
      <c r="E2" s="265"/>
      <c r="F2" s="265"/>
    </row>
    <row r="3" spans="1:10" s="247" customFormat="1" ht="15" customHeight="1">
      <c r="A3" s="250" t="s">
        <v>2</v>
      </c>
      <c r="B3" s="257"/>
      <c r="C3" s="257"/>
      <c r="D3" s="257"/>
      <c r="E3" s="257"/>
      <c r="F3" s="257"/>
    </row>
    <row r="4" spans="1:10" s="247" customFormat="1" ht="15" customHeight="1">
      <c r="A4" s="73" t="s">
        <v>3</v>
      </c>
      <c r="B4" s="257"/>
      <c r="C4" s="257"/>
      <c r="D4" s="257"/>
      <c r="E4" s="257"/>
      <c r="F4" s="257"/>
    </row>
    <row r="5" spans="1:10" s="247" customFormat="1" ht="15" customHeight="1">
      <c r="A5" s="243"/>
    </row>
    <row r="6" spans="1:10" s="247" customFormat="1" ht="15" customHeight="1">
      <c r="A6" s="266" t="s">
        <v>4</v>
      </c>
      <c r="B6" s="266"/>
      <c r="C6" s="266"/>
      <c r="D6" s="266"/>
      <c r="E6" s="266"/>
      <c r="F6" s="266"/>
    </row>
    <row r="7" spans="1:10" s="102" customFormat="1" ht="15" customHeight="1"/>
    <row r="8" spans="1:10" s="75" customFormat="1" ht="15" customHeight="1">
      <c r="A8" s="267" t="s">
        <v>126</v>
      </c>
      <c r="B8" s="267"/>
      <c r="C8" s="267"/>
      <c r="D8" s="267"/>
      <c r="E8" s="267"/>
      <c r="F8" s="267"/>
    </row>
    <row r="9" spans="1:10" s="75" customFormat="1" ht="15" customHeight="1">
      <c r="A9" s="232"/>
      <c r="B9" s="233"/>
      <c r="C9" s="234"/>
      <c r="D9" s="234"/>
      <c r="E9" s="234"/>
      <c r="F9" s="234"/>
      <c r="G9" s="102"/>
    </row>
    <row r="10" spans="1:10" s="75" customFormat="1" ht="15" customHeight="1">
      <c r="A10" s="271" t="s">
        <v>127</v>
      </c>
      <c r="B10" s="271"/>
      <c r="C10" s="271"/>
      <c r="D10" s="271"/>
      <c r="E10" s="271"/>
      <c r="F10" s="271"/>
    </row>
    <row r="11" spans="1:10" s="75" customFormat="1" ht="15" customHeight="1">
      <c r="B11" s="141"/>
      <c r="C11" s="185" t="s">
        <v>53</v>
      </c>
      <c r="D11" s="185" t="s">
        <v>54</v>
      </c>
      <c r="E11" s="185" t="s">
        <v>55</v>
      </c>
      <c r="F11" s="258" t="s">
        <v>128</v>
      </c>
    </row>
    <row r="12" spans="1:10" s="75" customFormat="1" ht="15" customHeight="1">
      <c r="A12" s="147"/>
      <c r="B12" s="141"/>
      <c r="C12" s="188"/>
      <c r="D12" s="188"/>
      <c r="E12" s="188"/>
      <c r="F12" s="188"/>
    </row>
    <row r="13" spans="1:10" s="75" customFormat="1" ht="15" customHeight="1">
      <c r="A13" s="87" t="s">
        <v>129</v>
      </c>
      <c r="B13" s="141"/>
      <c r="C13" s="188">
        <f>Benefits!C71</f>
        <v>0</v>
      </c>
      <c r="D13" s="188">
        <f>Benefits!D71</f>
        <v>43467000.000000037</v>
      </c>
      <c r="E13" s="188">
        <f>Benefits!E71</f>
        <v>82624800.000000075</v>
      </c>
      <c r="F13" s="188">
        <f>NPV(0.1,C13:E13)</f>
        <v>98000375.657400519</v>
      </c>
    </row>
    <row r="14" spans="1:10" s="75" customFormat="1" ht="15" customHeight="1">
      <c r="A14" s="87" t="s">
        <v>118</v>
      </c>
      <c r="B14" s="141"/>
      <c r="C14" s="188">
        <f>Costs!C51</f>
        <v>15672000</v>
      </c>
      <c r="D14" s="188">
        <f>Costs!D51</f>
        <v>1692000</v>
      </c>
      <c r="E14" s="188">
        <f>Costs!E51</f>
        <v>1272000</v>
      </c>
      <c r="F14" s="188">
        <f t="shared" ref="F14:F15" si="0">NPV(0.1,C14:E14)</f>
        <v>16601292.261457548</v>
      </c>
      <c r="G14" s="95"/>
      <c r="H14" s="95"/>
      <c r="I14" s="235"/>
      <c r="J14" s="235"/>
    </row>
    <row r="15" spans="1:10" s="75" customFormat="1" ht="15" customHeight="1">
      <c r="A15" s="87" t="s">
        <v>130</v>
      </c>
      <c r="B15" s="141"/>
      <c r="C15" s="188">
        <f>C13-C14</f>
        <v>-15672000</v>
      </c>
      <c r="D15" s="188">
        <f t="shared" ref="D15:E15" si="1">D13-D14</f>
        <v>41775000.000000037</v>
      </c>
      <c r="E15" s="188">
        <f t="shared" si="1"/>
        <v>81352800.000000075</v>
      </c>
      <c r="F15" s="188">
        <f t="shared" si="0"/>
        <v>81399083.395942956</v>
      </c>
    </row>
    <row r="16" spans="1:10" s="75" customFormat="1" ht="15" customHeight="1">
      <c r="A16" s="236" t="s">
        <v>131</v>
      </c>
      <c r="B16" s="141"/>
      <c r="C16" s="188"/>
      <c r="D16" s="188"/>
      <c r="E16" s="188"/>
      <c r="F16" s="238">
        <f>(F13-F14)/F14</f>
        <v>4.9031775426858459</v>
      </c>
    </row>
    <row r="17" spans="1:6" s="75" customFormat="1" ht="15" customHeight="1">
      <c r="A17" s="87"/>
      <c r="B17" s="237"/>
      <c r="C17" s="81"/>
      <c r="D17" s="81"/>
      <c r="E17" s="81"/>
      <c r="F17" s="81"/>
    </row>
    <row r="18" spans="1:6" s="75" customFormat="1" ht="15" customHeight="1">
      <c r="A18" s="272" t="s">
        <v>132</v>
      </c>
      <c r="B18" s="272"/>
      <c r="C18" s="272"/>
      <c r="D18" s="272"/>
      <c r="E18" s="272"/>
      <c r="F18" s="272"/>
    </row>
    <row r="19" spans="1:6" s="75" customFormat="1" ht="15" customHeight="1">
      <c r="B19" s="141"/>
      <c r="C19" s="185" t="s">
        <v>53</v>
      </c>
      <c r="D19" s="185" t="s">
        <v>54</v>
      </c>
      <c r="E19" s="185" t="s">
        <v>55</v>
      </c>
      <c r="F19" s="258" t="s">
        <v>128</v>
      </c>
    </row>
    <row r="20" spans="1:6" s="75" customFormat="1" ht="15" customHeight="1">
      <c r="A20" s="147"/>
      <c r="B20" s="141"/>
      <c r="C20" s="188"/>
      <c r="D20" s="188"/>
      <c r="E20" s="188"/>
      <c r="F20" s="188"/>
    </row>
    <row r="21" spans="1:6" s="75" customFormat="1" ht="15" customHeight="1">
      <c r="A21" s="87" t="s">
        <v>129</v>
      </c>
      <c r="B21" s="141"/>
      <c r="C21" s="188">
        <f>Benefits!C23*Risk!$G$13+Benefits!C34*Risk!$G$13+Benefits!C51*Risk!$G$14+Benefits!C67*Risk!$G$15</f>
        <v>0</v>
      </c>
      <c r="D21" s="188">
        <f>Benefits!D23*Risk!$G$12+Benefits!D34*Risk!$G$13+Benefits!D51*Risk!$G$14+Benefits!D67*Risk!$G$15</f>
        <v>39836100.000000045</v>
      </c>
      <c r="E21" s="188">
        <f>Benefits!E23*Risk!$G$12+Benefits!E34*Risk!$G$13+Benefits!E51*Risk!$G$14+Benefits!E67*Risk!$G$15</f>
        <v>75726090.000000075</v>
      </c>
      <c r="F21" s="188">
        <f>NPV(0.1,C21:E21)</f>
        <v>89816528.9256199</v>
      </c>
    </row>
    <row r="22" spans="1:6" s="75" customFormat="1" ht="15" customHeight="1">
      <c r="A22" s="87" t="s">
        <v>118</v>
      </c>
      <c r="B22" s="141"/>
      <c r="C22" s="188">
        <f>Costs!C18*Risk!$G$19+Costs!C23*Risk!$G$20+Costs!C32*Risk!$G$21+Costs!C36*Risk!$G$22+Costs!C47*Risk!$G$23</f>
        <v>17239200.000000004</v>
      </c>
      <c r="D22" s="188">
        <f>Costs!D18*Risk!$G$19+Costs!D23*Risk!$G$20+Costs!D32*Risk!$G$21+Costs!D36*Risk!$G$22+Costs!D47*Risk!$G$23</f>
        <v>1861200</v>
      </c>
      <c r="E22" s="188">
        <f>Costs!E18*Risk!$G$19+Costs!E23*Risk!$G$20+Costs!E32*Risk!$G$21+Costs!E36*Risk!$G$22+Costs!E47*Risk!$G$23</f>
        <v>1399200</v>
      </c>
      <c r="F22" s="188">
        <f t="shared" ref="F22:F23" si="2">NPV(0.1,C22:E22)</f>
        <v>18261421.487603307</v>
      </c>
    </row>
    <row r="23" spans="1:6" s="75" customFormat="1" ht="15" customHeight="1">
      <c r="A23" s="87" t="s">
        <v>130</v>
      </c>
      <c r="B23" s="141"/>
      <c r="C23" s="188">
        <f>C21-C22</f>
        <v>-17239200.000000004</v>
      </c>
      <c r="D23" s="188">
        <f t="shared" ref="D23" si="3">D21-D22</f>
        <v>37974900.000000045</v>
      </c>
      <c r="E23" s="188">
        <f t="shared" ref="E23" si="4">E21-E22</f>
        <v>74326890.000000075</v>
      </c>
      <c r="F23" s="188">
        <f t="shared" si="2"/>
        <v>71555107.438016608</v>
      </c>
    </row>
    <row r="24" spans="1:6" s="75" customFormat="1" ht="15" customHeight="1">
      <c r="A24" s="236" t="s">
        <v>131</v>
      </c>
      <c r="B24" s="141"/>
      <c r="C24" s="188"/>
      <c r="D24" s="188"/>
      <c r="E24" s="188"/>
      <c r="F24" s="238">
        <f>(F21-F22)/F22</f>
        <v>3.9183755485076279</v>
      </c>
    </row>
    <row r="25" spans="1:6" s="102" customFormat="1" ht="15" customHeight="1"/>
    <row r="26" spans="1:6" ht="69.95" customHeight="1">
      <c r="A26" s="264" t="s">
        <v>48</v>
      </c>
      <c r="B26" s="264"/>
      <c r="C26" s="264"/>
      <c r="D26" s="264"/>
      <c r="E26" s="264"/>
      <c r="F26" s="264"/>
    </row>
    <row r="27" spans="1:6" ht="15" customHeight="1"/>
    <row r="28" spans="1:6" ht="15" customHeight="1"/>
    <row r="29" spans="1:6" ht="15" customHeight="1"/>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 ht="15" customHeight="1"/>
    <row r="66" spans="1:5" ht="39.950000000000003" customHeight="1">
      <c r="A66" s="259"/>
      <c r="B66" s="259"/>
      <c r="C66" s="259"/>
      <c r="D66" s="259"/>
      <c r="E66" s="259"/>
    </row>
  </sheetData>
  <mergeCells count="6">
    <mergeCell ref="A26:F26"/>
    <mergeCell ref="A2:F2"/>
    <mergeCell ref="A6:F6"/>
    <mergeCell ref="A8:F8"/>
    <mergeCell ref="A10:F10"/>
    <mergeCell ref="A18:F18"/>
  </mergeCells>
  <pageMargins left="0.5" right="0.5" top="0.5" bottom="0.75" header="0.5" footer="0.5"/>
  <pageSetup orientation="portrait" r:id="rId1"/>
  <headerFooter>
    <oddFooter>&amp;L&amp;"Arial,Regular"&amp;8© 2019, Forrester Research, Inc.&amp;R&amp;"Arial,Regular"&amp;8&amp;P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J66"/>
  <sheetViews>
    <sheetView zoomScaleNormal="100" workbookViewId="0"/>
  </sheetViews>
  <sheetFormatPr defaultColWidth="9.140625" defaultRowHeight="14.25"/>
  <cols>
    <col min="1" max="1" width="25.7109375" style="248" customWidth="1"/>
    <col min="2" max="2" width="5.7109375" style="248" customWidth="1"/>
    <col min="3" max="6" width="15.7109375" style="248" customWidth="1"/>
    <col min="7" max="10" width="9.140625" style="248" customWidth="1"/>
    <col min="11" max="16384" width="9.140625" style="248"/>
  </cols>
  <sheetData>
    <row r="1" spans="1:10" s="247" customFormat="1" ht="15" customHeight="1">
      <c r="A1" s="72" t="s">
        <v>0</v>
      </c>
    </row>
    <row r="2" spans="1:10" ht="21" customHeight="1">
      <c r="A2" s="265" t="s">
        <v>1</v>
      </c>
      <c r="B2" s="265"/>
      <c r="C2" s="265"/>
      <c r="D2" s="265"/>
      <c r="E2" s="265"/>
      <c r="F2" s="265"/>
    </row>
    <row r="3" spans="1:10" s="247" customFormat="1" ht="15" customHeight="1">
      <c r="A3" s="250" t="s">
        <v>2</v>
      </c>
      <c r="B3" s="257"/>
      <c r="C3" s="257"/>
      <c r="D3" s="257"/>
      <c r="E3" s="257"/>
      <c r="F3" s="257"/>
    </row>
    <row r="4" spans="1:10" s="247" customFormat="1" ht="15" customHeight="1">
      <c r="A4" s="73" t="s">
        <v>3</v>
      </c>
      <c r="B4" s="257"/>
      <c r="C4" s="257"/>
      <c r="D4" s="257"/>
      <c r="E4" s="257"/>
      <c r="F4" s="257"/>
    </row>
    <row r="5" spans="1:10" s="247" customFormat="1" ht="15" customHeight="1">
      <c r="A5" s="243"/>
    </row>
    <row r="6" spans="1:10" s="247" customFormat="1" ht="15" customHeight="1">
      <c r="A6" s="266" t="s">
        <v>4</v>
      </c>
      <c r="B6" s="266"/>
      <c r="C6" s="266"/>
      <c r="D6" s="266"/>
      <c r="E6" s="266"/>
      <c r="F6" s="266"/>
    </row>
    <row r="7" spans="1:10" s="102" customFormat="1" ht="15" customHeight="1"/>
    <row r="8" spans="1:10" s="75" customFormat="1" ht="15" customHeight="1">
      <c r="A8" s="267" t="s">
        <v>133</v>
      </c>
      <c r="B8" s="267"/>
      <c r="C8" s="267"/>
      <c r="D8" s="267"/>
      <c r="E8" s="267"/>
      <c r="F8" s="267"/>
    </row>
    <row r="9" spans="1:10" s="75" customFormat="1" ht="15" customHeight="1">
      <c r="A9" s="232"/>
      <c r="B9" s="233"/>
      <c r="C9" s="234"/>
      <c r="D9" s="234"/>
      <c r="E9" s="234"/>
      <c r="F9" s="234"/>
      <c r="G9" s="102"/>
    </row>
    <row r="10" spans="1:10" s="75" customFormat="1" ht="15" customHeight="1">
      <c r="A10" s="271" t="s">
        <v>127</v>
      </c>
      <c r="B10" s="271"/>
      <c r="C10" s="271"/>
      <c r="D10" s="271"/>
      <c r="E10" s="271"/>
      <c r="F10" s="271"/>
    </row>
    <row r="11" spans="1:10" s="75" customFormat="1" ht="15" customHeight="1">
      <c r="B11" s="141"/>
      <c r="C11" s="185" t="s">
        <v>53</v>
      </c>
      <c r="D11" s="185" t="s">
        <v>54</v>
      </c>
      <c r="E11" s="185" t="s">
        <v>55</v>
      </c>
      <c r="F11" s="258" t="s">
        <v>128</v>
      </c>
    </row>
    <row r="12" spans="1:10" s="75" customFormat="1" ht="15" customHeight="1">
      <c r="A12" s="147"/>
      <c r="B12" s="141"/>
      <c r="C12" s="188"/>
      <c r="D12" s="188"/>
      <c r="E12" s="188"/>
      <c r="F12" s="188"/>
    </row>
    <row r="13" spans="1:10" s="75" customFormat="1" ht="15" customHeight="1">
      <c r="A13" s="87" t="s">
        <v>129</v>
      </c>
      <c r="B13" s="141"/>
      <c r="C13" s="188">
        <f>Benefits!G71</f>
        <v>0</v>
      </c>
      <c r="D13" s="188">
        <f>Benefits!H71</f>
        <v>64909999.999999978</v>
      </c>
      <c r="E13" s="188">
        <f>Benefits!I71</f>
        <v>133040500</v>
      </c>
      <c r="F13" s="188">
        <f>NPV(0.1,C13:E13)</f>
        <v>153599924.86851987</v>
      </c>
    </row>
    <row r="14" spans="1:10" s="75" customFormat="1" ht="15" customHeight="1">
      <c r="A14" s="87" t="s">
        <v>118</v>
      </c>
      <c r="B14" s="141"/>
      <c r="C14" s="188">
        <f>Costs!G51</f>
        <v>21680000</v>
      </c>
      <c r="D14" s="188">
        <f>Costs!H51</f>
        <v>3260000</v>
      </c>
      <c r="E14" s="188">
        <f>Costs!I51</f>
        <v>2880000</v>
      </c>
      <c r="F14" s="188">
        <f t="shared" ref="F14:F15" si="0">NPV(0.1,C14:E14)</f>
        <v>24567092.411720507</v>
      </c>
      <c r="G14" s="95"/>
      <c r="H14" s="95"/>
      <c r="I14" s="235"/>
      <c r="J14" s="235"/>
    </row>
    <row r="15" spans="1:10" s="75" customFormat="1" ht="15" customHeight="1">
      <c r="A15" s="87" t="s">
        <v>130</v>
      </c>
      <c r="B15" s="141"/>
      <c r="C15" s="188">
        <f>C13-C14</f>
        <v>-21680000</v>
      </c>
      <c r="D15" s="188">
        <f t="shared" ref="D15:E15" si="1">D13-D14</f>
        <v>61649999.999999978</v>
      </c>
      <c r="E15" s="188">
        <f t="shared" si="1"/>
        <v>130160500</v>
      </c>
      <c r="F15" s="188">
        <f t="shared" si="0"/>
        <v>129032832.45679936</v>
      </c>
    </row>
    <row r="16" spans="1:10" s="75" customFormat="1" ht="15" customHeight="1">
      <c r="A16" s="236" t="s">
        <v>131</v>
      </c>
      <c r="B16" s="141"/>
      <c r="C16" s="188"/>
      <c r="D16" s="188"/>
      <c r="E16" s="188"/>
      <c r="F16" s="238">
        <f>(F13-F14)/F14</f>
        <v>5.2522630799907022</v>
      </c>
    </row>
    <row r="17" spans="1:6" s="75" customFormat="1" ht="15" customHeight="1">
      <c r="A17" s="87"/>
      <c r="B17" s="237"/>
      <c r="C17" s="81"/>
      <c r="D17" s="81"/>
      <c r="E17" s="81"/>
      <c r="F17" s="81"/>
    </row>
    <row r="18" spans="1:6" s="75" customFormat="1" ht="15" customHeight="1">
      <c r="A18" s="272" t="s">
        <v>132</v>
      </c>
      <c r="B18" s="272"/>
      <c r="C18" s="272"/>
      <c r="D18" s="272"/>
      <c r="E18" s="272"/>
      <c r="F18" s="272"/>
    </row>
    <row r="19" spans="1:6" s="75" customFormat="1" ht="15" customHeight="1">
      <c r="B19" s="141"/>
      <c r="C19" s="185" t="s">
        <v>53</v>
      </c>
      <c r="D19" s="185" t="s">
        <v>54</v>
      </c>
      <c r="E19" s="185" t="s">
        <v>55</v>
      </c>
      <c r="F19" s="258" t="s">
        <v>128</v>
      </c>
    </row>
    <row r="20" spans="1:6" s="75" customFormat="1" ht="15" customHeight="1">
      <c r="A20" s="147"/>
      <c r="B20" s="141"/>
      <c r="C20" s="188"/>
      <c r="D20" s="188"/>
      <c r="E20" s="188"/>
      <c r="F20" s="188"/>
    </row>
    <row r="21" spans="1:6" s="75" customFormat="1" ht="15" customHeight="1">
      <c r="A21" s="87" t="s">
        <v>129</v>
      </c>
      <c r="B21" s="141"/>
      <c r="C21" s="188">
        <f>Benefits!G23*Risk!$G$13+Benefits!G34*Risk!$G$13+Benefits!G51*Risk!$G$14+Benefits!G67*Risk!$G$15</f>
        <v>0</v>
      </c>
      <c r="D21" s="188">
        <f>Benefits!H23*Risk!$G$12+Benefits!H34*Risk!$G$13+Benefits!H51*Risk!$G$14+Benefits!H67*Risk!$G$15</f>
        <v>59509249.999999985</v>
      </c>
      <c r="E21" s="188">
        <f>Benefits!I23*Risk!$G$12+Benefits!I34*Risk!$G$13+Benefits!I51*Risk!$G$14+Benefits!I67*Risk!$G$15</f>
        <v>121968962.5</v>
      </c>
      <c r="F21" s="188">
        <f>NPV(0.1,C21:E21)</f>
        <v>140818285.1239669</v>
      </c>
    </row>
    <row r="22" spans="1:6" s="75" customFormat="1" ht="15" customHeight="1">
      <c r="A22" s="87" t="s">
        <v>118</v>
      </c>
      <c r="B22" s="141"/>
      <c r="C22" s="188">
        <f>Costs!G18*Risk!$G$19+Costs!G23*Risk!$G$20+Costs!G32*Risk!$G$21+Costs!G36*Risk!$G$22+Costs!G47*Risk!$G$23</f>
        <v>23848000</v>
      </c>
      <c r="D22" s="188">
        <f>Costs!H18*Risk!$G$19+Costs!H23*Risk!$G$20+Costs!H32*Risk!$G$21+Costs!H36*Risk!$G$22+Costs!H47*Risk!$G$23</f>
        <v>3586000.0000000005</v>
      </c>
      <c r="E22" s="188">
        <f>Costs!I18*Risk!$G$19+Costs!I23*Risk!$G$20+Costs!I32*Risk!$G$21+Costs!I36*Risk!$G$22+Costs!I47*Risk!$G$23</f>
        <v>3168000</v>
      </c>
      <c r="F22" s="188">
        <f t="shared" ref="F22:F23" si="2">NPV(0.1,C22:E22)</f>
        <v>27023801.65289256</v>
      </c>
    </row>
    <row r="23" spans="1:6" s="75" customFormat="1" ht="15" customHeight="1">
      <c r="A23" s="87" t="s">
        <v>130</v>
      </c>
      <c r="B23" s="141"/>
      <c r="C23" s="188">
        <f>C21-C22</f>
        <v>-23848000</v>
      </c>
      <c r="D23" s="188">
        <f t="shared" ref="D23:E23" si="3">D21-D22</f>
        <v>55923249.999999985</v>
      </c>
      <c r="E23" s="188">
        <f t="shared" si="3"/>
        <v>118800962.5</v>
      </c>
      <c r="F23" s="188">
        <f t="shared" si="2"/>
        <v>113794483.47107434</v>
      </c>
    </row>
    <row r="24" spans="1:6" s="75" customFormat="1" ht="15" customHeight="1">
      <c r="A24" s="236" t="s">
        <v>131</v>
      </c>
      <c r="B24" s="141"/>
      <c r="C24" s="188"/>
      <c r="D24" s="188"/>
      <c r="E24" s="188"/>
      <c r="F24" s="238">
        <f>(F21-F22)/F22</f>
        <v>4.2108984121741457</v>
      </c>
    </row>
    <row r="25" spans="1:6" s="102" customFormat="1" ht="15" customHeight="1"/>
    <row r="26" spans="1:6" ht="69.95" customHeight="1">
      <c r="A26" s="264" t="s">
        <v>48</v>
      </c>
      <c r="B26" s="264"/>
      <c r="C26" s="264"/>
      <c r="D26" s="264"/>
      <c r="E26" s="264"/>
      <c r="F26" s="264"/>
    </row>
    <row r="27" spans="1:6" ht="15" customHeight="1"/>
    <row r="28" spans="1:6" ht="15" customHeight="1"/>
    <row r="29" spans="1:6" ht="15" customHeight="1"/>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 ht="15" customHeight="1"/>
    <row r="66" spans="1:5" ht="39.950000000000003" customHeight="1">
      <c r="A66" s="259"/>
      <c r="B66" s="259"/>
      <c r="C66" s="259"/>
      <c r="D66" s="259"/>
      <c r="E66" s="259"/>
    </row>
  </sheetData>
  <mergeCells count="6">
    <mergeCell ref="A26:F26"/>
    <mergeCell ref="A2:F2"/>
    <mergeCell ref="A6:F6"/>
    <mergeCell ref="A18:F18"/>
    <mergeCell ref="A10:F10"/>
    <mergeCell ref="A8:F8"/>
  </mergeCells>
  <pageMargins left="0.5" right="0.5" top="0.5" bottom="0.75" header="0.5" footer="0.5"/>
  <pageSetup orientation="portrait" r:id="rId1"/>
  <headerFooter>
    <oddFooter>&amp;L&amp;"Arial,Regular"&amp;8© 2019, Forrester Research, Inc.&amp;R&amp;"Arial,Regular"&amp;8&amp;P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workbookViewId="0">
      <selection activeCell="F30" sqref="F30"/>
    </sheetView>
  </sheetViews>
  <sheetFormatPr defaultRowHeight="15.75"/>
  <cols>
    <col min="1" max="1" width="56.140625" customWidth="1"/>
    <col min="2" max="2" width="3.42578125" style="52" customWidth="1"/>
    <col min="3" max="3" width="15.28515625" bestFit="1" customWidth="1"/>
    <col min="4" max="4" width="3" style="56" customWidth="1"/>
    <col min="5" max="5" width="12.85546875" customWidth="1"/>
    <col min="6" max="6" width="15.28515625" customWidth="1"/>
    <col min="7" max="7" width="15.7109375" customWidth="1"/>
    <col min="8" max="8" width="2.7109375" style="55" customWidth="1"/>
    <col min="10" max="10" width="17.7109375" customWidth="1"/>
    <col min="11" max="11" width="19.7109375" customWidth="1"/>
  </cols>
  <sheetData>
    <row r="1" spans="1:11">
      <c r="A1" s="61"/>
      <c r="C1" s="57" t="s">
        <v>134</v>
      </c>
      <c r="E1" s="273" t="s">
        <v>135</v>
      </c>
      <c r="F1" s="273"/>
      <c r="G1" s="273"/>
      <c r="I1" s="273" t="s">
        <v>136</v>
      </c>
      <c r="J1" s="273"/>
      <c r="K1" s="273"/>
    </row>
    <row r="2" spans="1:11">
      <c r="A2" s="61"/>
      <c r="C2" s="61"/>
      <c r="E2" s="42" t="s">
        <v>137</v>
      </c>
      <c r="F2" s="42" t="s">
        <v>80</v>
      </c>
      <c r="G2" s="42" t="s">
        <v>81</v>
      </c>
      <c r="I2" s="42" t="s">
        <v>137</v>
      </c>
      <c r="J2" s="42" t="s">
        <v>80</v>
      </c>
      <c r="K2" s="42" t="s">
        <v>81</v>
      </c>
    </row>
    <row r="3" spans="1:11" ht="18.75">
      <c r="A3" s="50" t="s">
        <v>138</v>
      </c>
      <c r="C3" s="51"/>
      <c r="E3" s="51"/>
      <c r="F3" s="51"/>
      <c r="G3" s="51"/>
      <c r="I3" s="51"/>
      <c r="J3" s="51"/>
      <c r="K3" s="51"/>
    </row>
    <row r="4" spans="1:11">
      <c r="A4" s="62" t="s">
        <v>139</v>
      </c>
      <c r="C4" s="61"/>
      <c r="E4" s="61"/>
      <c r="F4" s="60" t="e">
        <f>#REF!</f>
        <v>#REF!</v>
      </c>
      <c r="G4" s="60" t="e">
        <f>#REF!</f>
        <v>#REF!</v>
      </c>
      <c r="I4" s="60"/>
      <c r="J4" s="60" t="e">
        <f>#REF!</f>
        <v>#REF!</v>
      </c>
      <c r="K4" s="60" t="e">
        <f>#REF!</f>
        <v>#REF!</v>
      </c>
    </row>
    <row r="5" spans="1:11">
      <c r="A5" s="62" t="s">
        <v>140</v>
      </c>
      <c r="C5" s="61"/>
      <c r="E5" s="61"/>
      <c r="F5" s="60" t="e">
        <f>#REF!</f>
        <v>#REF!</v>
      </c>
      <c r="G5" s="60" t="e">
        <f>#REF!</f>
        <v>#REF!</v>
      </c>
      <c r="I5" s="60"/>
      <c r="J5" s="60" t="e">
        <f>#REF!</f>
        <v>#REF!</v>
      </c>
      <c r="K5" s="60" t="e">
        <f>#REF!</f>
        <v>#REF!</v>
      </c>
    </row>
    <row r="6" spans="1:11" s="61" customFormat="1">
      <c r="A6" s="62" t="s">
        <v>141</v>
      </c>
      <c r="B6" s="52"/>
      <c r="D6" s="56"/>
      <c r="F6" s="60" t="e">
        <f>Benefits!#REF!</f>
        <v>#REF!</v>
      </c>
      <c r="G6" s="60" t="e">
        <f>Benefits!#REF!</f>
        <v>#REF!</v>
      </c>
      <c r="H6" s="55"/>
      <c r="I6" s="60"/>
      <c r="J6" s="60" t="e">
        <f>Benefits!#REF!</f>
        <v>#REF!</v>
      </c>
      <c r="K6" s="60" t="e">
        <f>Benefits!#REF!</f>
        <v>#REF!</v>
      </c>
    </row>
    <row r="7" spans="1:11" s="61" customFormat="1">
      <c r="A7" s="62" t="s">
        <v>142</v>
      </c>
      <c r="B7" s="52"/>
      <c r="D7" s="56"/>
      <c r="F7" s="60" t="s">
        <v>143</v>
      </c>
      <c r="G7" s="60" t="s">
        <v>144</v>
      </c>
      <c r="H7" s="55"/>
      <c r="I7" s="60"/>
      <c r="J7" s="60" t="s">
        <v>145</v>
      </c>
      <c r="K7" s="60" t="s">
        <v>146</v>
      </c>
    </row>
    <row r="8" spans="1:11" s="61" customFormat="1">
      <c r="A8" s="62" t="s">
        <v>147</v>
      </c>
      <c r="B8" s="52"/>
      <c r="D8" s="56"/>
      <c r="F8" s="60" t="e">
        <f>#REF!</f>
        <v>#REF!</v>
      </c>
      <c r="G8" s="60" t="e">
        <f>#REF!</f>
        <v>#REF!</v>
      </c>
      <c r="H8" s="55"/>
      <c r="I8" s="60"/>
      <c r="J8" s="60" t="e">
        <f>#REF!</f>
        <v>#REF!</v>
      </c>
      <c r="K8" s="60" t="e">
        <f>#REF!</f>
        <v>#REF!</v>
      </c>
    </row>
    <row r="10" spans="1:11" ht="18.75">
      <c r="A10" s="65" t="s">
        <v>92</v>
      </c>
      <c r="B10" s="53"/>
      <c r="C10" s="15"/>
      <c r="D10" s="66"/>
      <c r="E10" s="15"/>
      <c r="F10" s="33" t="e">
        <f>SUM(F4:F8)</f>
        <v>#REF!</v>
      </c>
      <c r="G10" s="33" t="e">
        <f>SUM(G4:G8)</f>
        <v>#REF!</v>
      </c>
      <c r="H10" s="67"/>
      <c r="I10" s="15"/>
      <c r="J10" s="33" t="e">
        <f>SUM(J4:J8)</f>
        <v>#REF!</v>
      </c>
      <c r="K10" s="33" t="e">
        <f>SUM(K4:K8)</f>
        <v>#REF!</v>
      </c>
    </row>
    <row r="13" spans="1:11" ht="18.75">
      <c r="A13" s="50" t="s">
        <v>148</v>
      </c>
      <c r="C13" s="51"/>
      <c r="E13" s="51"/>
      <c r="F13" s="51"/>
      <c r="G13" s="51"/>
      <c r="I13" s="51"/>
      <c r="J13" s="51"/>
      <c r="K13" s="51"/>
    </row>
    <row r="14" spans="1:11">
      <c r="A14" s="44"/>
      <c r="C14" s="24"/>
      <c r="E14" s="24"/>
      <c r="F14" s="24"/>
      <c r="G14" s="24"/>
      <c r="I14" s="24"/>
      <c r="J14" s="24"/>
      <c r="K14" s="24"/>
    </row>
    <row r="15" spans="1:11">
      <c r="A15" s="9"/>
      <c r="C15" s="42"/>
      <c r="E15" s="42" t="s">
        <v>137</v>
      </c>
      <c r="F15" s="42" t="s">
        <v>80</v>
      </c>
      <c r="G15" s="42" t="s">
        <v>81</v>
      </c>
      <c r="I15" s="42" t="s">
        <v>137</v>
      </c>
      <c r="J15" s="42" t="s">
        <v>80</v>
      </c>
      <c r="K15" s="42" t="s">
        <v>81</v>
      </c>
    </row>
    <row r="16" spans="1:11">
      <c r="A16" s="58" t="s">
        <v>149</v>
      </c>
      <c r="C16" s="4"/>
      <c r="E16" s="4"/>
      <c r="F16" s="4"/>
      <c r="G16" s="4"/>
      <c r="I16" s="4"/>
      <c r="J16" s="4"/>
      <c r="K16" s="4"/>
    </row>
    <row r="17" spans="1:11">
      <c r="A17" s="59" t="s">
        <v>150</v>
      </c>
      <c r="C17" s="60">
        <f>Assumptions!B58*12</f>
        <v>12000000</v>
      </c>
      <c r="E17" s="39">
        <v>-0.05</v>
      </c>
      <c r="F17" s="4">
        <f>C17+(C17*$E$17)</f>
        <v>11400000</v>
      </c>
      <c r="G17" s="64">
        <f>F17+(F17*$E$17)</f>
        <v>10830000</v>
      </c>
      <c r="I17" s="40">
        <v>-7.0000000000000007E-2</v>
      </c>
      <c r="J17" s="64">
        <f>C17+(C17*$I$17)</f>
        <v>11160000</v>
      </c>
      <c r="K17" s="4">
        <f>J17+(J17*$I$17)</f>
        <v>10378800</v>
      </c>
    </row>
    <row r="18" spans="1:11">
      <c r="A18" s="45" t="s">
        <v>151</v>
      </c>
      <c r="C18" s="60">
        <f>C17*Assumptions!B57</f>
        <v>60000000</v>
      </c>
      <c r="E18" s="2"/>
      <c r="F18" s="60">
        <f>F17*Assumptions!B57</f>
        <v>57000000</v>
      </c>
      <c r="G18" s="60">
        <f>G17*Assumptions!B57</f>
        <v>54150000</v>
      </c>
      <c r="I18" s="2"/>
      <c r="J18" s="60">
        <f>J17*Assumptions!B57</f>
        <v>55800000</v>
      </c>
      <c r="K18" s="60">
        <f>K17*Assumptions!B57</f>
        <v>51894000</v>
      </c>
    </row>
    <row r="19" spans="1:11">
      <c r="A19" s="43" t="s">
        <v>152</v>
      </c>
      <c r="C19" s="4"/>
      <c r="E19" s="4"/>
      <c r="F19" s="4">
        <f>$C$18-F18</f>
        <v>3000000</v>
      </c>
      <c r="G19" s="4">
        <f>$C$18-G18</f>
        <v>5850000</v>
      </c>
      <c r="I19" s="4"/>
      <c r="J19" s="4">
        <f>$C$18-J18</f>
        <v>4200000</v>
      </c>
      <c r="K19" s="4">
        <f>$C$18-K18</f>
        <v>8106000</v>
      </c>
    </row>
    <row r="20" spans="1:11" ht="16.5" thickBot="1">
      <c r="A20" s="46" t="s">
        <v>90</v>
      </c>
      <c r="C20" s="47"/>
      <c r="E20" s="47"/>
      <c r="F20" s="47">
        <f>F19</f>
        <v>3000000</v>
      </c>
      <c r="G20" s="47">
        <f>G19</f>
        <v>5850000</v>
      </c>
      <c r="I20" s="47"/>
      <c r="J20" s="47">
        <f>J19</f>
        <v>4200000</v>
      </c>
      <c r="K20" s="47">
        <f>K19</f>
        <v>8106000</v>
      </c>
    </row>
    <row r="21" spans="1:11" ht="16.5" thickTop="1">
      <c r="A21" s="61"/>
      <c r="C21" s="61"/>
      <c r="E21" s="61"/>
      <c r="F21" s="61"/>
      <c r="G21" s="61"/>
      <c r="I21" s="61"/>
      <c r="J21" s="61"/>
      <c r="K21" s="61"/>
    </row>
    <row r="22" spans="1:11" ht="18.75">
      <c r="A22" s="50" t="s">
        <v>153</v>
      </c>
      <c r="B22" s="48"/>
      <c r="C22" s="51"/>
      <c r="D22" s="49"/>
      <c r="E22" s="51"/>
      <c r="F22" s="51"/>
      <c r="G22" s="51"/>
      <c r="H22" s="49"/>
      <c r="I22" s="51"/>
      <c r="J22" s="51"/>
      <c r="K22" s="51"/>
    </row>
    <row r="23" spans="1:11">
      <c r="A23" s="62" t="s">
        <v>154</v>
      </c>
      <c r="C23" s="61"/>
      <c r="E23" s="61"/>
      <c r="F23" s="68" t="e">
        <f>F20+F10</f>
        <v>#REF!</v>
      </c>
      <c r="G23" s="68" t="e">
        <f>G20+G10</f>
        <v>#REF!</v>
      </c>
      <c r="H23" s="54"/>
      <c r="I23" s="41"/>
      <c r="J23" s="68" t="e">
        <f>J20+J10</f>
        <v>#REF!</v>
      </c>
      <c r="K23" s="68" t="e">
        <f>K20+K10</f>
        <v>#REF!</v>
      </c>
    </row>
    <row r="24" spans="1:11">
      <c r="A24" s="62" t="s">
        <v>155</v>
      </c>
      <c r="C24" s="61"/>
      <c r="E24" s="61"/>
      <c r="F24" s="63">
        <v>500000</v>
      </c>
      <c r="G24" s="63">
        <v>500000</v>
      </c>
      <c r="H24" s="69"/>
      <c r="I24" s="63"/>
      <c r="J24" s="63">
        <v>1000000</v>
      </c>
      <c r="K24" s="63">
        <v>1000000</v>
      </c>
    </row>
    <row r="26" spans="1:11" ht="16.5" thickBot="1">
      <c r="A26" s="70" t="s">
        <v>156</v>
      </c>
      <c r="C26" s="61"/>
      <c r="E26" s="61"/>
      <c r="F26" s="71" t="e">
        <f>(F23-F24)/F24</f>
        <v>#REF!</v>
      </c>
      <c r="G26" s="71" t="e">
        <f>(G23-G24)/G24</f>
        <v>#REF!</v>
      </c>
      <c r="I26" s="61"/>
      <c r="J26" s="71" t="e">
        <f>(J23-J24)/J24</f>
        <v>#REF!</v>
      </c>
      <c r="K26" s="71" t="e">
        <f>(K23-K24)/K24</f>
        <v>#REF!</v>
      </c>
    </row>
    <row r="27" spans="1:11" ht="16.5" thickTop="1">
      <c r="A27" s="61"/>
      <c r="C27" s="61"/>
      <c r="E27" s="61"/>
      <c r="F27" s="61"/>
      <c r="G27" s="61"/>
      <c r="I27" s="61"/>
      <c r="J27" s="61"/>
      <c r="K27" s="61"/>
    </row>
  </sheetData>
  <mergeCells count="2">
    <mergeCell ref="E1:G1"/>
    <mergeCell ref="I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workbookViewId="0">
      <selection activeCell="C4" sqref="C4"/>
    </sheetView>
  </sheetViews>
  <sheetFormatPr defaultColWidth="8.85546875" defaultRowHeight="15"/>
  <cols>
    <col min="1" max="1" width="27.28515625" customWidth="1"/>
    <col min="2" max="2" width="17.7109375" customWidth="1"/>
    <col min="3" max="3" width="19.85546875" customWidth="1"/>
    <col min="4" max="4" width="13.85546875" customWidth="1"/>
    <col min="5" max="5" width="29.7109375" customWidth="1"/>
    <col min="6" max="6" width="10.42578125" customWidth="1"/>
    <col min="7" max="7" width="12" customWidth="1"/>
    <col min="8" max="8" width="17.28515625" customWidth="1"/>
    <col min="9" max="9" width="11.7109375" customWidth="1"/>
    <col min="10" max="10" width="14.42578125" customWidth="1"/>
  </cols>
  <sheetData>
    <row r="1" spans="1:10" ht="30">
      <c r="A1" s="61"/>
      <c r="B1" s="61"/>
      <c r="C1" s="62" t="s">
        <v>157</v>
      </c>
      <c r="D1" s="61"/>
      <c r="E1" s="61"/>
      <c r="F1" s="61"/>
      <c r="G1" s="61"/>
      <c r="H1" s="61"/>
      <c r="I1" s="38" t="s">
        <v>158</v>
      </c>
      <c r="J1" s="38" t="s">
        <v>159</v>
      </c>
    </row>
    <row r="2" spans="1:10">
      <c r="A2" s="61" t="s">
        <v>160</v>
      </c>
      <c r="B2" s="61"/>
      <c r="C2" s="62"/>
      <c r="D2" s="61"/>
      <c r="E2" s="61"/>
      <c r="F2" s="61"/>
      <c r="G2" s="61"/>
      <c r="H2" s="61" t="s">
        <v>161</v>
      </c>
      <c r="I2" s="61">
        <v>10</v>
      </c>
      <c r="J2" s="61">
        <v>20</v>
      </c>
    </row>
    <row r="3" spans="1:10">
      <c r="A3" s="14"/>
      <c r="B3" s="15" t="s">
        <v>162</v>
      </c>
      <c r="C3" s="15" t="s">
        <v>163</v>
      </c>
      <c r="D3" s="16" t="s">
        <v>164</v>
      </c>
      <c r="E3" s="61"/>
      <c r="F3" s="61"/>
      <c r="G3" s="61"/>
      <c r="H3" s="61" t="s">
        <v>165</v>
      </c>
      <c r="I3" s="61">
        <v>5</v>
      </c>
      <c r="J3" s="61">
        <v>10</v>
      </c>
    </row>
    <row r="4" spans="1:10">
      <c r="A4" s="17" t="s">
        <v>32</v>
      </c>
      <c r="B4" s="24">
        <v>7304220</v>
      </c>
      <c r="C4" s="24" t="e">
        <f>Assumptions!#REF!</f>
        <v>#REF!</v>
      </c>
      <c r="D4" s="26" t="e">
        <f>C4-B4</f>
        <v>#REF!</v>
      </c>
      <c r="E4" s="61"/>
      <c r="F4" s="61"/>
      <c r="G4" s="61"/>
      <c r="H4" s="61" t="s">
        <v>166</v>
      </c>
      <c r="I4" s="61">
        <v>15</v>
      </c>
      <c r="J4" s="61">
        <v>30</v>
      </c>
    </row>
    <row r="5" spans="1:10">
      <c r="A5" s="20" t="s">
        <v>12</v>
      </c>
      <c r="B5" s="24">
        <v>-12284370</v>
      </c>
      <c r="C5" s="24" t="e">
        <f>-Assumptions!#REF!</f>
        <v>#REF!</v>
      </c>
      <c r="D5" s="26" t="e">
        <f>C5-B5</f>
        <v>#REF!</v>
      </c>
      <c r="E5" s="61"/>
      <c r="F5" s="61"/>
      <c r="G5" s="61"/>
      <c r="H5" s="61"/>
      <c r="I5" s="61"/>
      <c r="J5" s="61"/>
    </row>
    <row r="6" spans="1:10">
      <c r="A6" s="20" t="s">
        <v>167</v>
      </c>
      <c r="B6" s="25">
        <v>3505777.2</v>
      </c>
      <c r="C6" s="25" t="e">
        <f>Assumptions!#REF!</f>
        <v>#REF!</v>
      </c>
      <c r="D6" s="26" t="e">
        <f>C6-B6</f>
        <v>#REF!</v>
      </c>
      <c r="E6" s="61"/>
      <c r="F6" s="61"/>
      <c r="G6" s="61"/>
      <c r="H6" s="61"/>
      <c r="I6" s="61"/>
      <c r="J6" s="61"/>
    </row>
    <row r="7" spans="1:10">
      <c r="A7" s="11" t="s">
        <v>92</v>
      </c>
      <c r="B7" s="25">
        <f>SUM(B4:B6)</f>
        <v>-1474372.7999999998</v>
      </c>
      <c r="C7" s="25" t="e">
        <f>SUM(C4:C6)</f>
        <v>#REF!</v>
      </c>
      <c r="D7" s="27" t="e">
        <f>C7-B7</f>
        <v>#REF!</v>
      </c>
      <c r="E7" s="61"/>
      <c r="F7" s="61"/>
      <c r="G7" s="61"/>
      <c r="H7" s="61"/>
      <c r="I7" s="61"/>
      <c r="J7" s="61"/>
    </row>
    <row r="9" spans="1:10">
      <c r="A9" s="8" t="s">
        <v>168</v>
      </c>
      <c r="B9" s="61"/>
      <c r="C9" s="61"/>
      <c r="D9" s="61"/>
      <c r="E9" s="61"/>
      <c r="F9" s="61"/>
      <c r="G9" s="61"/>
      <c r="H9" s="61"/>
      <c r="I9" s="61"/>
      <c r="J9" s="61"/>
    </row>
    <row r="10" spans="1:10">
      <c r="A10" s="21"/>
      <c r="B10" s="15" t="s">
        <v>162</v>
      </c>
      <c r="C10" s="15" t="s">
        <v>163</v>
      </c>
      <c r="D10" s="16" t="s">
        <v>164</v>
      </c>
      <c r="E10" s="61"/>
      <c r="F10" s="61"/>
      <c r="G10" s="61"/>
      <c r="H10" s="61"/>
      <c r="I10" s="61"/>
      <c r="J10" s="61"/>
    </row>
    <row r="11" spans="1:10">
      <c r="A11" s="20" t="s">
        <v>169</v>
      </c>
      <c r="B11" s="24">
        <v>5100000</v>
      </c>
      <c r="C11" s="24" t="e">
        <f>Assumptions!#REF!</f>
        <v>#REF!</v>
      </c>
      <c r="D11" s="26" t="e">
        <f>C11-B11</f>
        <v>#REF!</v>
      </c>
      <c r="E11" s="61"/>
      <c r="F11" s="61"/>
      <c r="G11" s="61"/>
      <c r="H11" s="61"/>
      <c r="I11" s="61"/>
      <c r="J11" s="61"/>
    </row>
    <row r="12" spans="1:10">
      <c r="A12" s="20" t="s">
        <v>170</v>
      </c>
      <c r="B12" s="25">
        <v>1039533000</v>
      </c>
      <c r="C12" s="25" t="e">
        <f>Assumptions!#REF!</f>
        <v>#REF!</v>
      </c>
      <c r="D12" s="26" t="e">
        <f>C12-B12</f>
        <v>#REF!</v>
      </c>
      <c r="E12" s="61"/>
      <c r="F12" s="61"/>
      <c r="G12" s="61"/>
      <c r="H12" s="61"/>
      <c r="I12" s="61"/>
      <c r="J12" s="61"/>
    </row>
    <row r="13" spans="1:10">
      <c r="A13" s="13" t="s">
        <v>92</v>
      </c>
      <c r="B13" s="10">
        <f>SUM(B11:B12)</f>
        <v>1044633000</v>
      </c>
      <c r="C13" s="10" t="e">
        <f>SUM(C11:C12)</f>
        <v>#REF!</v>
      </c>
      <c r="D13" s="10" t="e">
        <f>SUM(D11:D12)</f>
        <v>#REF!</v>
      </c>
      <c r="E13" s="61"/>
      <c r="F13" s="61"/>
      <c r="G13" s="61"/>
      <c r="H13" s="61"/>
      <c r="I13" s="61"/>
      <c r="J13" s="61"/>
    </row>
    <row r="14" spans="1:10">
      <c r="A14" s="29"/>
      <c r="B14" s="24"/>
      <c r="C14" s="24"/>
      <c r="D14" s="24"/>
      <c r="E14" s="61"/>
      <c r="F14" s="61"/>
      <c r="G14" s="61"/>
      <c r="H14" s="61"/>
      <c r="I14" s="61"/>
      <c r="J14" s="61"/>
    </row>
    <row r="15" spans="1:10" ht="15.75">
      <c r="A15" s="9" t="s">
        <v>171</v>
      </c>
      <c r="B15" s="61"/>
      <c r="C15" s="61"/>
      <c r="D15" s="61"/>
      <c r="E15" s="61"/>
      <c r="F15" s="61"/>
      <c r="G15" s="61"/>
      <c r="H15" s="61"/>
      <c r="I15" s="61"/>
      <c r="J15" s="61"/>
    </row>
    <row r="16" spans="1:10" ht="15.75">
      <c r="A16" s="30"/>
      <c r="B16" s="15" t="s">
        <v>162</v>
      </c>
      <c r="C16" s="15" t="s">
        <v>172</v>
      </c>
      <c r="D16" s="16" t="s">
        <v>173</v>
      </c>
      <c r="E16" s="9" t="s">
        <v>174</v>
      </c>
      <c r="F16" s="61"/>
      <c r="G16" s="61"/>
      <c r="H16" s="61"/>
      <c r="I16" s="61"/>
      <c r="J16" s="61"/>
    </row>
    <row r="17" spans="1:10">
      <c r="A17" s="17" t="s">
        <v>175</v>
      </c>
      <c r="B17" s="22">
        <v>1328150000</v>
      </c>
      <c r="C17" s="24" t="e">
        <f>D7+B17</f>
        <v>#REF!</v>
      </c>
      <c r="D17" s="19"/>
      <c r="E17" s="1" t="s">
        <v>176</v>
      </c>
      <c r="F17" s="61" t="s">
        <v>176</v>
      </c>
      <c r="G17" s="61" t="s">
        <v>177</v>
      </c>
      <c r="H17" s="61" t="s">
        <v>178</v>
      </c>
      <c r="I17" s="61" t="s">
        <v>179</v>
      </c>
      <c r="J17" s="61" t="s">
        <v>180</v>
      </c>
    </row>
    <row r="18" spans="1:10">
      <c r="A18" s="17" t="s">
        <v>181</v>
      </c>
      <c r="B18" s="22"/>
      <c r="C18" s="18"/>
      <c r="D18" s="19"/>
      <c r="E18" s="62" t="s">
        <v>182</v>
      </c>
      <c r="F18" s="6">
        <v>510000</v>
      </c>
      <c r="G18" s="5"/>
      <c r="H18" s="5"/>
      <c r="I18" s="5"/>
      <c r="J18" s="5"/>
    </row>
    <row r="19" spans="1:10">
      <c r="A19" s="34" t="s">
        <v>92</v>
      </c>
      <c r="B19" s="33">
        <f>B17+B18</f>
        <v>1328150000</v>
      </c>
      <c r="C19" s="33" t="e">
        <f>SUM(C17:C18)</f>
        <v>#REF!</v>
      </c>
      <c r="D19" s="16"/>
      <c r="E19" s="62" t="s">
        <v>183</v>
      </c>
      <c r="F19" s="5"/>
      <c r="G19" s="5"/>
      <c r="H19" s="5"/>
      <c r="I19" s="5"/>
      <c r="J19" s="5"/>
    </row>
    <row r="20" spans="1:10">
      <c r="A20" s="35" t="s">
        <v>184</v>
      </c>
      <c r="B20" s="24"/>
      <c r="C20" s="24"/>
      <c r="D20" s="18"/>
      <c r="E20" s="62"/>
      <c r="F20" s="5"/>
      <c r="G20" s="5"/>
      <c r="H20" s="5"/>
      <c r="I20" s="5"/>
      <c r="J20" s="5"/>
    </row>
    <row r="21" spans="1:10">
      <c r="A21" s="14" t="s">
        <v>185</v>
      </c>
      <c r="B21" s="32">
        <v>1157666000</v>
      </c>
      <c r="C21" s="33" t="e">
        <f>C13</f>
        <v>#REF!</v>
      </c>
      <c r="D21" s="16"/>
      <c r="E21" s="62" t="s">
        <v>186</v>
      </c>
      <c r="F21" s="7">
        <v>2604</v>
      </c>
      <c r="G21" s="5"/>
      <c r="H21" s="5"/>
      <c r="I21" s="5"/>
      <c r="J21" s="5"/>
    </row>
    <row r="22" spans="1:10">
      <c r="A22" s="36" t="s">
        <v>181</v>
      </c>
      <c r="B22" s="37"/>
      <c r="C22" s="23"/>
      <c r="D22" s="31"/>
      <c r="E22" s="61"/>
      <c r="F22" s="61"/>
      <c r="G22" s="61"/>
      <c r="H22" s="61"/>
      <c r="I22" s="61"/>
      <c r="J22" s="61"/>
    </row>
    <row r="23" spans="1:10">
      <c r="A23" s="13" t="s">
        <v>92</v>
      </c>
      <c r="B23" s="28">
        <f>B21+B22</f>
        <v>1157666000</v>
      </c>
      <c r="C23" s="28" t="e">
        <f>SUM(C21:C22)</f>
        <v>#REF!</v>
      </c>
      <c r="D23" s="12"/>
      <c r="E23" s="61"/>
      <c r="F23" s="61"/>
      <c r="G23" s="61"/>
      <c r="H23" s="61"/>
      <c r="I23" s="61"/>
      <c r="J23" s="61"/>
    </row>
    <row r="25" spans="1:10">
      <c r="A25" s="3" t="s">
        <v>187</v>
      </c>
      <c r="B25" s="4">
        <f>B19-B23</f>
        <v>170484000</v>
      </c>
      <c r="C25" s="61"/>
      <c r="D25" s="61"/>
      <c r="E25" s="61"/>
      <c r="F25" s="61"/>
      <c r="G25" s="61"/>
      <c r="H25" s="61"/>
      <c r="I25" s="61"/>
      <c r="J25" s="61"/>
    </row>
    <row r="50" spans="1:1">
      <c r="A50"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50B60358194F44A73DF704DD15F95C" ma:contentTypeVersion="12" ma:contentTypeDescription="Create a new document." ma:contentTypeScope="" ma:versionID="2fd30b794f837384fa52d9a3c93b9102">
  <xsd:schema xmlns:xsd="http://www.w3.org/2001/XMLSchema" xmlns:xs="http://www.w3.org/2001/XMLSchema" xmlns:p="http://schemas.microsoft.com/office/2006/metadata/properties" xmlns:ns2="dd81057f-2d8c-4514-9ad8-3c63e9242efd" xmlns:ns3="7beb7e7f-e8a3-4a2c-83d7-d3340e7d527b" targetNamespace="http://schemas.microsoft.com/office/2006/metadata/properties" ma:root="true" ma:fieldsID="bd50b8ddfe28e9929497c6d422df4ec2" ns2:_="" ns3:_="">
    <xsd:import namespace="dd81057f-2d8c-4514-9ad8-3c63e9242efd"/>
    <xsd:import namespace="7beb7e7f-e8a3-4a2c-83d7-d3340e7d52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57f-2d8c-4514-9ad8-3c63e9242e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b7e7f-e8a3-4a2c-83d7-d3340e7d52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427A3-3483-469A-97D7-5ACF94BFCC9C}"/>
</file>

<file path=customXml/itemProps2.xml><?xml version="1.0" encoding="utf-8"?>
<ds:datastoreItem xmlns:ds="http://schemas.openxmlformats.org/officeDocument/2006/customXml" ds:itemID="{3574B1C2-5DAD-4017-9A27-E2243243D88B}"/>
</file>

<file path=customXml/itemProps3.xml><?xml version="1.0" encoding="utf-8"?>
<ds:datastoreItem xmlns:ds="http://schemas.openxmlformats.org/officeDocument/2006/customXml" ds:itemID="{7F3E2768-8EFC-4B04-9591-6BA8DA5ACEF3}"/>
</file>

<file path=docProps/app.xml><?xml version="1.0" encoding="utf-8"?>
<Properties xmlns="http://schemas.openxmlformats.org/officeDocument/2006/extended-properties" xmlns:vt="http://schemas.openxmlformats.org/officeDocument/2006/docPropsVTypes">
  <Application>Microsoft Excel Online</Application>
  <Manager/>
  <Company>Forrester Research,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Dylan Czarnecki</dc:creator>
  <cp:keywords/>
  <dc:description/>
  <cp:lastModifiedBy/>
  <cp:revision/>
  <dcterms:created xsi:type="dcterms:W3CDTF">2016-01-13T20:28:43Z</dcterms:created>
  <dcterms:modified xsi:type="dcterms:W3CDTF">2020-01-16T17:56:03Z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0x010100B950B60358194F44A73DF704DD15F95C</vt:lpwstr>
  </property>
</Properties>
</file>