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autoCompressPictures="0" defaultThemeVersion="124226"/>
  <mc:AlternateContent xmlns:mc="http://schemas.openxmlformats.org/markup-compatibility/2006">
    <mc:Choice Requires="x15">
      <x15ac:absPath xmlns:x15ac="http://schemas.microsoft.com/office/spreadsheetml/2010/11/ac" url="C:\Users\aalbernaz\Desktop\"/>
    </mc:Choice>
  </mc:AlternateContent>
  <xr:revisionPtr revIDLastSave="0" documentId="8_{EE8860DF-1D0F-4566-820D-23A600EF9E2A}" xr6:coauthVersionLast="47" xr6:coauthVersionMax="47" xr10:uidLastSave="{00000000-0000-0000-0000-000000000000}"/>
  <bookViews>
    <workbookView xWindow="-110" yWindow="-110" windowWidth="19420" windowHeight="10420" tabRatio="641" firstSheet="1" activeTab="1" xr2:uid="{00000000-000D-0000-FFFF-FFFF00000000}"/>
  </bookViews>
  <sheets>
    <sheet name="Instructions" sheetId="39" r:id="rId1"/>
    <sheet name="Assumptions" sheetId="1" r:id="rId2"/>
    <sheet name="Benefits" sheetId="19" r:id="rId3"/>
    <sheet name="Costs" sheetId="34" r:id="rId4"/>
    <sheet name="Risk" sheetId="37" r:id="rId5"/>
    <sheet name="Results — Low Case" sheetId="23" r:id="rId6"/>
    <sheet name="Results — High Case" sheetId="36" r:id="rId7"/>
    <sheet name="Overview" sheetId="22" state="hidden" r:id="rId8"/>
    <sheet name="Inputs" sheetId="2" state="hidden" r:id="rId9"/>
  </sheets>
  <definedNames>
    <definedName name="_xlnm.Print_Area" localSheetId="1">Assumptions!$A$1:$E$66</definedName>
    <definedName name="_xlnm.Print_Area" localSheetId="2">Benefits!$A$1:$I$73</definedName>
    <definedName name="_xlnm.Print_Area" localSheetId="3">Costs!$A$1:$I$53</definedName>
    <definedName name="_xlnm.Print_Area" localSheetId="6">'Results — High Case'!$A$1:$F$26</definedName>
    <definedName name="_xlnm.Print_Area" localSheetId="5">'Results — Low Case'!$A$1:$F$26</definedName>
    <definedName name="_xlnm.Print_Area" localSheetId="4">Risk!$A$1:$G$25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37" l="1"/>
  <c r="B19" i="37"/>
  <c r="B12" i="37"/>
  <c r="C49" i="1"/>
  <c r="B49" i="1"/>
  <c r="B33" i="1"/>
  <c r="D32" i="34"/>
  <c r="E32" i="34"/>
  <c r="G32" i="34"/>
  <c r="H32" i="34"/>
  <c r="D22" i="36" s="1"/>
  <c r="D23" i="36" s="1"/>
  <c r="I32" i="34"/>
  <c r="C32" i="34"/>
  <c r="H18" i="34"/>
  <c r="I18" i="34"/>
  <c r="E22" i="36" s="1"/>
  <c r="E23" i="36" s="1"/>
  <c r="G18" i="34"/>
  <c r="C22" i="36" s="1"/>
  <c r="D18" i="34"/>
  <c r="D22" i="23" s="1"/>
  <c r="D23" i="23" s="1"/>
  <c r="E18" i="34"/>
  <c r="C18" i="34"/>
  <c r="C51" i="34" s="1"/>
  <c r="C14" i="23" s="1"/>
  <c r="D23" i="34"/>
  <c r="E23" i="34"/>
  <c r="E51" i="34" s="1"/>
  <c r="E14" i="23" s="1"/>
  <c r="E15" i="23" s="1"/>
  <c r="G23" i="34"/>
  <c r="H23" i="34"/>
  <c r="I23" i="34"/>
  <c r="C23" i="34"/>
  <c r="H36" i="34"/>
  <c r="I36" i="34"/>
  <c r="G36" i="34"/>
  <c r="G51" i="34"/>
  <c r="C14" i="36" s="1"/>
  <c r="D36" i="34"/>
  <c r="E36" i="34"/>
  <c r="C36" i="34"/>
  <c r="I61" i="19"/>
  <c r="H61" i="19"/>
  <c r="G61" i="19"/>
  <c r="E61" i="19"/>
  <c r="D61" i="19"/>
  <c r="D58" i="19"/>
  <c r="D62" i="19"/>
  <c r="D64" i="19"/>
  <c r="D59" i="19"/>
  <c r="D65" i="19"/>
  <c r="D67" i="19"/>
  <c r="C61" i="19"/>
  <c r="I58" i="19"/>
  <c r="H58" i="19"/>
  <c r="G58" i="19"/>
  <c r="E58" i="19"/>
  <c r="C58" i="19"/>
  <c r="C25" i="1"/>
  <c r="B25" i="1"/>
  <c r="C23" i="1"/>
  <c r="C21" i="1"/>
  <c r="G19" i="19"/>
  <c r="B21" i="1"/>
  <c r="C19" i="19"/>
  <c r="B23" i="1"/>
  <c r="C14" i="19"/>
  <c r="C17" i="19"/>
  <c r="D14" i="19"/>
  <c r="D20" i="19"/>
  <c r="H16" i="19"/>
  <c r="I16" i="19"/>
  <c r="G16" i="19"/>
  <c r="D16" i="19"/>
  <c r="E16" i="19"/>
  <c r="C16" i="19"/>
  <c r="C53" i="1"/>
  <c r="B53" i="1"/>
  <c r="B37" i="1"/>
  <c r="B23" i="37"/>
  <c r="B22" i="37"/>
  <c r="B21" i="37"/>
  <c r="B20" i="37"/>
  <c r="G23" i="37"/>
  <c r="G22" i="37"/>
  <c r="G21" i="37"/>
  <c r="G20" i="37"/>
  <c r="G19" i="37"/>
  <c r="G13" i="37"/>
  <c r="G14" i="37"/>
  <c r="G15" i="37"/>
  <c r="G12" i="37"/>
  <c r="B14" i="37"/>
  <c r="I48" i="19"/>
  <c r="H48" i="19"/>
  <c r="G48" i="19"/>
  <c r="E48" i="19"/>
  <c r="D48" i="19"/>
  <c r="C48" i="19"/>
  <c r="I46" i="19"/>
  <c r="H46" i="19"/>
  <c r="G46" i="19"/>
  <c r="E46" i="19"/>
  <c r="D46" i="19"/>
  <c r="C46" i="19"/>
  <c r="I41" i="19"/>
  <c r="E41" i="19"/>
  <c r="C51" i="1"/>
  <c r="H41" i="19"/>
  <c r="B51" i="1"/>
  <c r="D41" i="19"/>
  <c r="I38" i="19"/>
  <c r="H38" i="19"/>
  <c r="G38" i="19"/>
  <c r="G41" i="19"/>
  <c r="E38" i="19"/>
  <c r="D38" i="19"/>
  <c r="C38" i="19"/>
  <c r="E30" i="19"/>
  <c r="G30" i="19"/>
  <c r="C30" i="19"/>
  <c r="I27" i="19"/>
  <c r="H27" i="19"/>
  <c r="G27" i="19"/>
  <c r="E27" i="19"/>
  <c r="D27" i="19"/>
  <c r="C27" i="19"/>
  <c r="G14" i="19"/>
  <c r="G20" i="19"/>
  <c r="H14" i="19"/>
  <c r="G17" i="19"/>
  <c r="C41" i="19"/>
  <c r="G36" i="19"/>
  <c r="G25" i="19"/>
  <c r="G22" i="19"/>
  <c r="G23" i="19"/>
  <c r="G39" i="19"/>
  <c r="G31" i="19"/>
  <c r="G28" i="19"/>
  <c r="G33" i="19"/>
  <c r="G34" i="19"/>
  <c r="B35" i="1"/>
  <c r="D30" i="19"/>
  <c r="C31" i="1"/>
  <c r="C33" i="1"/>
  <c r="I19" i="19"/>
  <c r="E19" i="19"/>
  <c r="D25" i="19"/>
  <c r="C20" i="19"/>
  <c r="I30" i="19"/>
  <c r="C37" i="1"/>
  <c r="C36" i="19"/>
  <c r="C39" i="19"/>
  <c r="C25" i="19"/>
  <c r="C31" i="19"/>
  <c r="C35" i="1"/>
  <c r="H19" i="19"/>
  <c r="H30" i="19"/>
  <c r="D36" i="19"/>
  <c r="D39" i="19"/>
  <c r="C22" i="19"/>
  <c r="C23" i="19"/>
  <c r="B43" i="1"/>
  <c r="E47" i="19"/>
  <c r="C47" i="34"/>
  <c r="I47" i="34"/>
  <c r="H47" i="34"/>
  <c r="G47" i="34"/>
  <c r="D47" i="34"/>
  <c r="E47" i="34"/>
  <c r="D51" i="34"/>
  <c r="D14" i="23" s="1"/>
  <c r="D15" i="23" s="1"/>
  <c r="C17" i="22"/>
  <c r="F17" i="22"/>
  <c r="J17" i="22"/>
  <c r="J18" i="22"/>
  <c r="C18" i="22"/>
  <c r="C59" i="19"/>
  <c r="C62" i="19"/>
  <c r="C64" i="19"/>
  <c r="C65" i="19"/>
  <c r="C67" i="19"/>
  <c r="K17" i="22"/>
  <c r="K18" i="22"/>
  <c r="G62" i="19"/>
  <c r="G64" i="19"/>
  <c r="G59" i="19"/>
  <c r="E62" i="19"/>
  <c r="E64" i="19"/>
  <c r="E59" i="19"/>
  <c r="E65" i="19"/>
  <c r="E67" i="19"/>
  <c r="I62" i="19"/>
  <c r="I64" i="19"/>
  <c r="I59" i="19"/>
  <c r="I65" i="19"/>
  <c r="I67" i="19"/>
  <c r="H62" i="19"/>
  <c r="H64" i="19"/>
  <c r="H59" i="19"/>
  <c r="H65" i="19"/>
  <c r="H67" i="19"/>
  <c r="G65" i="19"/>
  <c r="G67" i="19"/>
  <c r="J8" i="22"/>
  <c r="J5" i="22"/>
  <c r="K5" i="22"/>
  <c r="F8" i="22"/>
  <c r="G8" i="22"/>
  <c r="J6" i="22"/>
  <c r="F6" i="22"/>
  <c r="F5" i="22"/>
  <c r="K8" i="22"/>
  <c r="G5" i="22"/>
  <c r="K6" i="22"/>
  <c r="G6" i="22"/>
  <c r="C6" i="2"/>
  <c r="D6" i="2"/>
  <c r="B13" i="2"/>
  <c r="B7" i="2"/>
  <c r="C11" i="2"/>
  <c r="C13" i="2"/>
  <c r="C21" i="2"/>
  <c r="C23" i="2"/>
  <c r="D11" i="2"/>
  <c r="D13" i="2"/>
  <c r="C12" i="2"/>
  <c r="D12" i="2"/>
  <c r="B23" i="2"/>
  <c r="B19" i="2"/>
  <c r="C4" i="2"/>
  <c r="C7" i="2"/>
  <c r="D7" i="2"/>
  <c r="C17" i="2"/>
  <c r="C19" i="2"/>
  <c r="B25" i="2"/>
  <c r="C5" i="2"/>
  <c r="D5" i="2"/>
  <c r="G4" i="22"/>
  <c r="G10" i="22"/>
  <c r="K4" i="22"/>
  <c r="K10" i="22"/>
  <c r="J4" i="22"/>
  <c r="J10" i="22"/>
  <c r="F4" i="22"/>
  <c r="F10" i="22"/>
  <c r="C22" i="23"/>
  <c r="C23" i="23" s="1"/>
  <c r="F18" i="22"/>
  <c r="G17" i="22"/>
  <c r="G18" i="22"/>
  <c r="G19" i="22"/>
  <c r="G20" i="22"/>
  <c r="G23" i="22"/>
  <c r="G26" i="22"/>
  <c r="H17" i="19"/>
  <c r="H36" i="19"/>
  <c r="H20" i="19"/>
  <c r="I14" i="19"/>
  <c r="H25" i="19"/>
  <c r="K19" i="22"/>
  <c r="K20" i="22"/>
  <c r="K23" i="22"/>
  <c r="K26" i="22"/>
  <c r="G42" i="19"/>
  <c r="G44" i="19"/>
  <c r="D31" i="19"/>
  <c r="D28" i="19"/>
  <c r="D33" i="19"/>
  <c r="D34" i="19"/>
  <c r="D4" i="2"/>
  <c r="G45" i="19"/>
  <c r="H45" i="19"/>
  <c r="I45" i="19"/>
  <c r="H47" i="19"/>
  <c r="D17" i="19"/>
  <c r="J19" i="22"/>
  <c r="J20" i="22"/>
  <c r="J23" i="22"/>
  <c r="J26" i="22"/>
  <c r="F19" i="22"/>
  <c r="F20" i="22"/>
  <c r="F23" i="22"/>
  <c r="F26" i="22"/>
  <c r="D47" i="19"/>
  <c r="D42" i="19"/>
  <c r="D44" i="19"/>
  <c r="C28" i="19"/>
  <c r="C33" i="19"/>
  <c r="C34" i="19"/>
  <c r="C42" i="19"/>
  <c r="C44" i="19"/>
  <c r="I47" i="19"/>
  <c r="G47" i="19"/>
  <c r="D19" i="19"/>
  <c r="C47" i="19"/>
  <c r="I36" i="19"/>
  <c r="I25" i="19"/>
  <c r="I17" i="19"/>
  <c r="I20" i="19"/>
  <c r="D50" i="19"/>
  <c r="D51" i="19"/>
  <c r="H42" i="19"/>
  <c r="H39" i="19"/>
  <c r="H44" i="19"/>
  <c r="H50" i="19"/>
  <c r="H51" i="19"/>
  <c r="H22" i="19"/>
  <c r="H23" i="19"/>
  <c r="E14" i="19"/>
  <c r="D22" i="19"/>
  <c r="D23" i="19"/>
  <c r="G50" i="19"/>
  <c r="G51" i="19"/>
  <c r="C50" i="19"/>
  <c r="C51" i="19"/>
  <c r="C21" i="23"/>
  <c r="H28" i="19"/>
  <c r="H31" i="19"/>
  <c r="H33" i="19"/>
  <c r="H34" i="19"/>
  <c r="I22" i="19"/>
  <c r="I23" i="19"/>
  <c r="G53" i="19"/>
  <c r="G71" i="19"/>
  <c r="C13" i="36"/>
  <c r="C21" i="36"/>
  <c r="I28" i="19"/>
  <c r="I31" i="19"/>
  <c r="I33" i="19"/>
  <c r="I34" i="19"/>
  <c r="E25" i="19"/>
  <c r="E17" i="19"/>
  <c r="E20" i="19"/>
  <c r="E36" i="19"/>
  <c r="I42" i="19"/>
  <c r="I39" i="19"/>
  <c r="D21" i="36"/>
  <c r="H53" i="19"/>
  <c r="H71" i="19"/>
  <c r="D13" i="36"/>
  <c r="D53" i="19"/>
  <c r="D71" i="19"/>
  <c r="D13" i="23"/>
  <c r="D21" i="23"/>
  <c r="C53" i="19"/>
  <c r="C71" i="19"/>
  <c r="C13" i="23"/>
  <c r="E31" i="19"/>
  <c r="E28" i="19"/>
  <c r="E33" i="19"/>
  <c r="E34" i="19"/>
  <c r="E22" i="19"/>
  <c r="E23" i="19"/>
  <c r="I44" i="19"/>
  <c r="I50" i="19"/>
  <c r="I51" i="19"/>
  <c r="I53" i="19"/>
  <c r="I71" i="19"/>
  <c r="E13" i="36"/>
  <c r="E42" i="19"/>
  <c r="E39" i="19"/>
  <c r="F13" i="36"/>
  <c r="E21" i="36"/>
  <c r="E44" i="19"/>
  <c r="E50" i="19"/>
  <c r="E51" i="19"/>
  <c r="E21" i="23"/>
  <c r="F21" i="23"/>
  <c r="E53" i="19"/>
  <c r="E71" i="19"/>
  <c r="E13" i="23"/>
  <c r="F21" i="36"/>
  <c r="F13" i="23"/>
  <c r="C15" i="23" l="1"/>
  <c r="F14" i="23"/>
  <c r="F16" i="23" s="1"/>
  <c r="C23" i="36"/>
  <c r="F23" i="36" s="1"/>
  <c r="F22" i="36"/>
  <c r="F24" i="36" s="1"/>
  <c r="H51" i="34"/>
  <c r="D14" i="36" s="1"/>
  <c r="D15" i="36" s="1"/>
  <c r="I51" i="34"/>
  <c r="E14" i="36" s="1"/>
  <c r="E15" i="36" s="1"/>
  <c r="E22" i="23"/>
  <c r="F22" i="23" s="1"/>
  <c r="F24" i="23" s="1"/>
  <c r="F15" i="23"/>
  <c r="E23" i="23"/>
  <c r="F23" i="23" s="1"/>
  <c r="C15" i="36"/>
  <c r="F15" i="36" l="1"/>
  <c r="F14" i="36"/>
  <c r="F16" i="3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1" authorId="0" shapeId="0" xr:uid="{00000000-0006-0000-0000-000001000000}">
      <text>
        <r>
          <rPr>
            <sz val="9"/>
            <color indexed="81"/>
            <rFont val="Tahoma"/>
            <family val="2"/>
          </rPr>
          <t>Assumption: The average annual revenue per customer remains static throughout the three-year transformation.</t>
        </r>
      </text>
    </comment>
    <comment ref="A42" authorId="0" shapeId="0" xr:uid="{00000000-0006-0000-0000-000002000000}">
      <text>
        <r>
          <rPr>
            <sz val="9"/>
            <color indexed="81"/>
            <rFont val="Tahoma"/>
            <family val="2"/>
          </rPr>
          <t xml:space="preserve">Assumption: The average number of people recommended to will remain static throughout the three-year transformation
</t>
        </r>
      </text>
    </comment>
    <comment ref="A57" authorId="0" shapeId="0" xr:uid="{00000000-0006-0000-0000-000003000000}">
      <text>
        <r>
          <rPr>
            <sz val="9"/>
            <color indexed="81"/>
            <rFont val="Tahoma"/>
            <family val="2"/>
          </rPr>
          <t xml:space="preserve">Assumption: The cost per call remains static throughout the three-year transformation. 
</t>
        </r>
      </text>
    </comment>
    <comment ref="A58" authorId="0" shapeId="0" xr:uid="{00000000-0006-0000-0000-000004000000}">
      <text>
        <r>
          <rPr>
            <sz val="9"/>
            <color indexed="81"/>
            <rFont val="Tahoma"/>
            <family val="2"/>
          </rPr>
          <t>Assumption: The number of calls remains static throughout the three-year transformation.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4" authorId="0" shapeId="0" xr:uid="{00000000-0006-0000-0100-000001000000}">
      <text>
        <r>
          <rPr>
            <sz val="9"/>
            <color indexed="81"/>
            <rFont val="Tahoma"/>
            <family val="2"/>
          </rPr>
          <t>Assumption: Acme's acquisition rate is 25% of current customer base each year. This includes acquisition from any means.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0" authorId="0" shapeId="0" xr:uid="{00000000-0006-0000-0300-000001000000}">
      <text>
        <r>
          <rPr>
            <sz val="9"/>
            <color indexed="81"/>
            <rFont val="Tahoma"/>
            <family val="2"/>
          </rPr>
          <t>Best and worst case risk calculations are based on  expert assumptions used in Forrester's Total Economic Impact (TEI) framework.</t>
        </r>
      </text>
    </comment>
    <comment ref="A17" authorId="0" shapeId="0" xr:uid="{00000000-0006-0000-0300-000002000000}">
      <text>
        <r>
          <rPr>
            <sz val="9"/>
            <color indexed="81"/>
            <rFont val="Tahoma"/>
            <family val="2"/>
          </rPr>
          <t xml:space="preserve">Best and worst case risk calculations are based on  expert assumptions used in Forrester's Total Economic Impact (TEI) framework.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F11" authorId="0" shapeId="0" xr:uid="{00000000-0006-0000-0400-000001000000}">
      <text>
        <r>
          <rPr>
            <sz val="9"/>
            <color indexed="81"/>
            <rFont val="Tahoma"/>
            <family val="2"/>
          </rPr>
          <t>Present value calculations use a 10% discount rate according to Forrester's Total Economic Impact (TEI) framework.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F11" authorId="0" shapeId="0" xr:uid="{00000000-0006-0000-0500-000001000000}">
      <text>
        <r>
          <rPr>
            <sz val="9"/>
            <color indexed="81"/>
            <rFont val="Tahoma"/>
            <family val="2"/>
          </rPr>
          <t>Present value calculations use a 10% discount rate according to Forrester's Total Economic Impact (TEI) framework.</t>
        </r>
      </text>
    </comment>
  </commentList>
</comments>
</file>

<file path=xl/sharedStrings.xml><?xml version="1.0" encoding="utf-8"?>
<sst xmlns="http://schemas.openxmlformats.org/spreadsheetml/2006/main" count="313" uniqueCount="193">
  <si>
    <t>Forrester Research, Inc.</t>
  </si>
  <si>
    <t>The ROI Of CX Transformation</t>
  </si>
  <si>
    <t>by Maxie Schmidt-Subramanian</t>
  </si>
  <si>
    <t>Assumptions</t>
  </si>
  <si>
    <t>Segment 1</t>
  </si>
  <si>
    <t>Number of customers in target segment</t>
  </si>
  <si>
    <t>Average annual revenue per customer in target segment</t>
  </si>
  <si>
    <t>Market share</t>
  </si>
  <si>
    <t>Retention</t>
  </si>
  <si>
    <t>% of customers who stay each year</t>
  </si>
  <si>
    <t>Low case</t>
  </si>
  <si>
    <t>High case</t>
  </si>
  <si>
    <t>Projected improved retention rate after Year 3</t>
  </si>
  <si>
    <t>Percent of projected retention rate expected after Year 1</t>
  </si>
  <si>
    <t>Projected improved retention rate at the end of Year 1</t>
  </si>
  <si>
    <t>Percent of projected retention rate expected after Year 2</t>
  </si>
  <si>
    <t>Projected improved retention rate at the end of Year 2</t>
  </si>
  <si>
    <t>Percent of projected retention rate expected after Year 3</t>
  </si>
  <si>
    <t>Projected improved retention rate at the end of Year 3</t>
  </si>
  <si>
    <t>Cross- and upsell</t>
  </si>
  <si>
    <t>Projected cross- and upsell rate after Year 3</t>
  </si>
  <si>
    <t>Percent of projected cross- and upsell rate expected after Year 1</t>
  </si>
  <si>
    <t>Projected improved cross- and upsell rate at the end of Year 1</t>
  </si>
  <si>
    <t>Percent of projected cross- and upsell rate expected after Year 2</t>
  </si>
  <si>
    <t>Projected improved cross- and upsell rate at the end of Year 2</t>
  </si>
  <si>
    <t>Percent of projected cross- and upsell rate expected after Year 3</t>
  </si>
  <si>
    <t>Projected improved cross- and upsell rate at the end of Year 3</t>
  </si>
  <si>
    <t>Recommendation</t>
  </si>
  <si>
    <t>% of people who are likely to recommend the company</t>
  </si>
  <si>
    <t>Average number of people to which a current customer recommends</t>
  </si>
  <si>
    <t>Percent of people who received a recommendation but aren't customers (1 minus market share in %)</t>
  </si>
  <si>
    <t>Percent of noncustomers who become customers after receiving a recommendation</t>
  </si>
  <si>
    <t>Projected improved recommendation rate (after Year 3)</t>
  </si>
  <si>
    <t>Percent of increase expected after Year 1</t>
  </si>
  <si>
    <t>Projected improved recommendation rate at the end of Year 1</t>
  </si>
  <si>
    <t>Percent of increase expected after Year 2</t>
  </si>
  <si>
    <t>Projected improved recommendation rate at the end of Year 2</t>
  </si>
  <si>
    <t>Percent of increase expected after Year 3</t>
  </si>
  <si>
    <t>Projected improved recommendation rate at the end of Year 3</t>
  </si>
  <si>
    <t>Customer care costs</t>
  </si>
  <si>
    <t>Average cost per call</t>
  </si>
  <si>
    <t>Number of calls per year</t>
  </si>
  <si>
    <t>Benefits</t>
  </si>
  <si>
    <t>Low-benefit/low-cost model</t>
  </si>
  <si>
    <t>High-benefit/high-cost model</t>
  </si>
  <si>
    <t>Revenue benefit</t>
  </si>
  <si>
    <t>Year 1</t>
  </si>
  <si>
    <t>Year 2</t>
  </si>
  <si>
    <t>Year 3</t>
  </si>
  <si>
    <t>Number of target customers at the start of the year</t>
  </si>
  <si>
    <t>% of customers who stay each year (current retention rate)</t>
  </si>
  <si>
    <t>Number of customers lost at current retention rate</t>
  </si>
  <si>
    <t>Projected retention rate</t>
  </si>
  <si>
    <t>Projected number of customers lost at new retention rate</t>
  </si>
  <si>
    <t>Incremental customers retained</t>
  </si>
  <si>
    <t>Incremental revenue retained</t>
  </si>
  <si>
    <t>Number of customers at the start of the year</t>
  </si>
  <si>
    <t>Incremental revenue generated from cross- and upsell</t>
  </si>
  <si>
    <t>Customers at the start of the year</t>
  </si>
  <si>
    <t>Current percentage of customers who are likely to recommend</t>
  </si>
  <si>
    <t>Current number of customers who are likely to recommend</t>
  </si>
  <si>
    <t>Projected percentage of customers who are likely to recommend</t>
  </si>
  <si>
    <t>Projected number of customers who are likely to recommend</t>
  </si>
  <si>
    <t>Incremental increase in number of customers who will recommend</t>
  </si>
  <si>
    <t>Incremental customers acquired</t>
  </si>
  <si>
    <t>Incremental revenue generated from recommendations</t>
  </si>
  <si>
    <t>Total benefit from increased loyalty</t>
  </si>
  <si>
    <t>Cost savings benefit</t>
  </si>
  <si>
    <t>After 1 Year</t>
  </si>
  <si>
    <t>After 2 Years</t>
  </si>
  <si>
    <t>After 3 Years</t>
  </si>
  <si>
    <t>Costs from calls (with no change)</t>
  </si>
  <si>
    <t>Projected number of calls</t>
  </si>
  <si>
    <t>Cost from calls</t>
  </si>
  <si>
    <t>Incremental costs saved</t>
  </si>
  <si>
    <t>Total incremental cost saving from improved CX</t>
  </si>
  <si>
    <t>Total benefit</t>
  </si>
  <si>
    <t>Total</t>
  </si>
  <si>
    <t>Investment costs</t>
  </si>
  <si>
    <t>Costs</t>
  </si>
  <si>
    <t>Training costs</t>
  </si>
  <si>
    <t>Number of employees being training</t>
  </si>
  <si>
    <t>Average training cost per employee</t>
  </si>
  <si>
    <t>Total training costs each year</t>
  </si>
  <si>
    <t>Technology costs</t>
  </si>
  <si>
    <t>Database management system</t>
  </si>
  <si>
    <t>Operating costs</t>
  </si>
  <si>
    <t>Total technology costs each year</t>
  </si>
  <si>
    <t>Touchpoint redesign costs</t>
  </si>
  <si>
    <t>Mobile app redesign</t>
  </si>
  <si>
    <t>Number of employees</t>
  </si>
  <si>
    <t>Percent of employees' time</t>
  </si>
  <si>
    <t>Average full-loaded salary</t>
  </si>
  <si>
    <t>Other costs (user testing, prototyping, etc.)</t>
  </si>
  <si>
    <t>Total touchpoint redesign costs each year</t>
  </si>
  <si>
    <t>Professional services</t>
  </si>
  <si>
    <t>Total professional services costs each year</t>
  </si>
  <si>
    <t>CX team</t>
  </si>
  <si>
    <t>Number of managers</t>
  </si>
  <si>
    <t>Percent of managers' time</t>
  </si>
  <si>
    <t>Total costs</t>
  </si>
  <si>
    <t>Risks</t>
  </si>
  <si>
    <t>Risk-to-benefit</t>
  </si>
  <si>
    <t>Original</t>
  </si>
  <si>
    <t>Best case</t>
  </si>
  <si>
    <t>Worst case</t>
  </si>
  <si>
    <t>Most likely estimate</t>
  </si>
  <si>
    <t>Risk-to-cost</t>
  </si>
  <si>
    <t>Results — low case</t>
  </si>
  <si>
    <t>Original estimate</t>
  </si>
  <si>
    <t>Present value</t>
  </si>
  <si>
    <t>Total benefits</t>
  </si>
  <si>
    <t>Net cash flow</t>
  </si>
  <si>
    <t>ROI</t>
  </si>
  <si>
    <t>Most likely estimates (risk-adjusted)</t>
  </si>
  <si>
    <t>Results — high case</t>
  </si>
  <si>
    <t>INITIAL</t>
  </si>
  <si>
    <t>LOW COST/LOW CHANGE MODEL</t>
  </si>
  <si>
    <t>HIGH COST / HIGH CHANGE MODEL</t>
  </si>
  <si>
    <t>% Change</t>
  </si>
  <si>
    <t>INCOME BENEFIT BY LOB</t>
  </si>
  <si>
    <t>Indviduals on exchange</t>
  </si>
  <si>
    <t>Individuals off exchange</t>
  </si>
  <si>
    <t>Fully Insured</t>
  </si>
  <si>
    <t>ASO</t>
  </si>
  <si>
    <t>ASO!F38</t>
  </si>
  <si>
    <t>ASO!G38</t>
  </si>
  <si>
    <t>ASO!J38</t>
  </si>
  <si>
    <t>ASO!K38</t>
  </si>
  <si>
    <t>SF Trust Association</t>
  </si>
  <si>
    <t>COST SAVINGS</t>
  </si>
  <si>
    <t>Cost Savings</t>
  </si>
  <si>
    <t># of calls per year</t>
  </si>
  <si>
    <t>Costs from # of calls</t>
  </si>
  <si>
    <t>incremental cost saved</t>
  </si>
  <si>
    <t>TOTAL BENEFIT</t>
  </si>
  <si>
    <t>Incremental income benefit (Income benefit + cost savings)</t>
  </si>
  <si>
    <t>Cost of investment</t>
  </si>
  <si>
    <t>Income ROI (benefit-cost/cost)</t>
  </si>
  <si>
    <r>
      <rPr>
        <i/>
        <sz val="11"/>
        <color theme="1"/>
        <rFont val="Calibri"/>
        <family val="2"/>
        <scheme val="minor"/>
      </rPr>
      <t>X</t>
    </r>
    <r>
      <rPr>
        <sz val="11"/>
        <color theme="1"/>
        <rFont val="Calibri"/>
        <family val="2"/>
        <scheme val="minor"/>
      </rPr>
      <t>=</t>
    </r>
  </si>
  <si>
    <t>low cost/ low benefit</t>
  </si>
  <si>
    <t>high cost/ high benefit</t>
  </si>
  <si>
    <t>Revenue generated by loyalty metrics</t>
  </si>
  <si>
    <t>% to recommend</t>
  </si>
  <si>
    <t>Baseline</t>
  </si>
  <si>
    <r>
      <t xml:space="preserve">With </t>
    </r>
    <r>
      <rPr>
        <i/>
        <sz val="11"/>
        <color theme="1"/>
        <rFont val="Calibri"/>
        <family val="2"/>
        <scheme val="minor"/>
      </rPr>
      <t>X</t>
    </r>
    <r>
      <rPr>
        <sz val="11"/>
        <color theme="1"/>
        <rFont val="Calibri"/>
        <family val="2"/>
        <scheme val="minor"/>
      </rPr>
      <t xml:space="preserve"> increase in CX </t>
    </r>
  </si>
  <si>
    <t>Diff.</t>
  </si>
  <si>
    <t>% who enrich</t>
  </si>
  <si>
    <t>% who retain</t>
  </si>
  <si>
    <t>Enrichment</t>
  </si>
  <si>
    <t>Costs affected by loyalty metrics</t>
  </si>
  <si>
    <t>Call center</t>
  </si>
  <si>
    <t>Benefits cost</t>
  </si>
  <si>
    <t>Financials</t>
  </si>
  <si>
    <t>With X increase in CX</t>
  </si>
  <si>
    <t>Diff</t>
  </si>
  <si>
    <t>By Group</t>
  </si>
  <si>
    <t>Premium Revenue</t>
  </si>
  <si>
    <t>Individual</t>
  </si>
  <si>
    <t>Small Group</t>
  </si>
  <si>
    <t>Med. Group</t>
  </si>
  <si>
    <t>Large Group</t>
  </si>
  <si>
    <t>Medicare</t>
  </si>
  <si>
    <t>Other</t>
  </si>
  <si>
    <t>customers</t>
  </si>
  <si>
    <t>customers in wellness program</t>
  </si>
  <si>
    <t>Cost</t>
  </si>
  <si>
    <t>Cost (Benefits and call center)</t>
  </si>
  <si>
    <t>revenue per customer</t>
  </si>
  <si>
    <t>IBITDA</t>
  </si>
  <si>
    <t>Average annual revenue per additional premium current account</t>
  </si>
  <si>
    <t>Current percentage of customers who purchase a premium current account (cross- and upsell rate)</t>
  </si>
  <si>
    <t>Number of customers who purchase a premium current account</t>
  </si>
  <si>
    <t>Projected percentage of customers who will purchase a premium current account</t>
  </si>
  <si>
    <t>Projected number of customers who will purchase a premium current account</t>
  </si>
  <si>
    <t>Incremental customers who purchased a premium current account</t>
  </si>
  <si>
    <t>Number of calls to call centre (with no change)</t>
  </si>
  <si>
    <t>Projected decrease in call centre calls</t>
  </si>
  <si>
    <t>Call centre agent retraining</t>
  </si>
  <si>
    <t>Programme operation costs</t>
  </si>
  <si>
    <t>Total programme operation costs each year</t>
  </si>
  <si>
    <t>Call centre cost savings</t>
  </si>
  <si>
    <t>Projected decrease in call centre costs (after Year 3)</t>
  </si>
  <si>
    <t>% of customers who added a premium current account last year</t>
  </si>
  <si>
    <t>© 2023 Forrester Research, Inc. All rights reserved. Forrester®, Technographics®, Forrester Wave, TechRadar, and Total Economic Impact are trademarks of Forrester Research, Inc. All other trademarks are the property of their respective owners. Reproduction or sharing of this content in any form without prior written permission is strictly prohibited. For additional reproduction and usage information, see Forrester's Citation Policy located at www.forrester.com. Information is based on best available resources. Opinions reflect judgment at the time and are subject to change.</t>
  </si>
  <si>
    <r>
      <t xml:space="preserve">Results tabs (ROI of CX for low-effort/benefit and high-effort/benefit scenarios): </t>
    </r>
    <r>
      <rPr>
        <sz val="10"/>
        <color rgb="FF000000"/>
        <rFont val="Segoe UI"/>
        <family val="2"/>
      </rPr>
      <t>These tabs summarize the result of the calculations based on the assumptions and data in the tool. We recommend that you do a gut check to determine whether these percentages seem too high or low and, if so, go back to reconsider your assumptions. It’s equally likely that your assumptions are reasonable and that your efforts have the potential to deliver a surprising amount of ROI.</t>
    </r>
  </si>
  <si>
    <r>
      <t xml:space="preserve">Risk tab: </t>
    </r>
    <r>
      <rPr>
        <sz val="10"/>
        <color rgb="FF000000"/>
        <rFont val="Segoe UI"/>
        <family val="2"/>
      </rPr>
      <t>Adjust the ranges for how likely it is the predicted benefits and costs will occur.</t>
    </r>
    <r>
      <rPr>
        <b/>
        <sz val="10"/>
        <color rgb="FF000000"/>
        <rFont val="Segoe UI"/>
        <family val="2"/>
      </rPr>
      <t> </t>
    </r>
    <r>
      <rPr>
        <sz val="10"/>
        <color rgb="FF000000"/>
        <rFont val="Segoe UI"/>
        <family val="2"/>
      </rPr>
      <t>The ROI of CX transformation depends on many factors — which is why CX leaders should consider the level of risk involved when assuming that the benefits and costs they estimated are correct.</t>
    </r>
  </si>
  <si>
    <r>
      <t>Benefits tab:</t>
    </r>
    <r>
      <rPr>
        <sz val="10"/>
        <color rgb="FF000000"/>
        <rFont val="Segoe UI"/>
        <family val="2"/>
      </rPr>
      <t xml:space="preserve"> See what benefits result from the assumptions you entered in the Asssumptions tab. If you see unexpected data here or benefits appear very high or low, review the assumptions you entered in that tab.</t>
    </r>
  </si>
  <si>
    <t>Use this tool to see how Acme (a fictitious company) calculated the ROI of CX. You may replace the inputs and data used for Acme with the respective inputs for your own organization and calculate the ROI of CX for your firm.</t>
  </si>
  <si>
    <r>
      <t xml:space="preserve">Assumptions tab: </t>
    </r>
    <r>
      <rPr>
        <sz val="11"/>
        <color theme="1"/>
        <rFont val="Calibri"/>
        <family val="2"/>
        <scheme val="minor"/>
      </rPr>
      <t>Enter data about your customer base, such as annual revenue and the size of your customer base and target customer segment. Enter that data in the yellow input cells. This information will be used to size the benefit for individual customers.</t>
    </r>
    <r>
      <rPr>
        <b/>
        <sz val="11"/>
        <color theme="1"/>
        <rFont val="Calibri"/>
        <family val="2"/>
        <scheme val="minor"/>
      </rPr>
      <t xml:space="preserve">
</t>
    </r>
    <r>
      <rPr>
        <sz val="11"/>
        <color theme="1"/>
        <rFont val="Calibri"/>
        <family val="2"/>
        <scheme val="minor"/>
      </rPr>
      <t>Also in this tab, add data and assumptions for predicting the benefits of CX. This tab lists four potential benefits of improved CX: higher retention, more enrichment (cross- and upsell), more recommendations, and lower contact centre costs. That data will help calculate the size of the benefits later. To populate the tab, add your data and assumptions — like the assumed increases in retention, enrichment, and recommendations when you improve CX as well as current call centre costs — in the yellow input cells.</t>
    </r>
  </si>
  <si>
    <r>
      <t xml:space="preserve">Costs tab: </t>
    </r>
    <r>
      <rPr>
        <sz val="10"/>
        <color rgb="FF000000"/>
        <rFont val="Segoe UI"/>
        <family val="2"/>
      </rPr>
      <t>Add data and assumptions on the costs of CX transformation. This tab is where you calculate the costs of CX transformation. In the yellow input cells, please include your assumptions on costs for positions such as training, programme management, new technology, and the CX team.</t>
    </r>
  </si>
  <si>
    <t>Acme's Estimated ROI</t>
  </si>
  <si>
    <t xml:space="preserve"> = Manual inputs specific to Acme's business; ; replace with assumptions for your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</si>
</sst>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00000%"/>
    <numFmt numFmtId="168" formatCode="0.0%"/>
    <numFmt numFmtId="169" formatCode="_-[$€-2]\ * #,##0_-;\-[$€-2]\ * #,##0_-;_-[$€-2]\ * &quot;-&quot;??_-;_-@_-"/>
    <numFmt numFmtId="170" formatCode="_([$€-2]\ * #,##0.00_);_([$€-2]\ * \(#,##0.00\);_([$€-2]\ *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u/>
      <sz val="11"/>
      <color theme="1"/>
      <name val="Calibri"/>
      <family val="2"/>
      <scheme val="minor"/>
    </font>
    <font>
      <sz val="9"/>
      <color indexed="81"/>
      <name val="Tahoma"/>
      <family val="2"/>
    </font>
    <font>
      <b/>
      <sz val="10"/>
      <name val="Arial"/>
      <family val="2"/>
    </font>
    <font>
      <b/>
      <sz val="16"/>
      <name val="Arial"/>
      <family val="2"/>
    </font>
    <font>
      <sz val="10"/>
      <name val="Arial"/>
      <family val="2"/>
    </font>
    <font>
      <sz val="8"/>
      <name val="Arial"/>
      <family val="2"/>
    </font>
    <font>
      <sz val="10"/>
      <color indexed="8"/>
      <name val="Arial"/>
      <family val="2"/>
    </font>
    <font>
      <b/>
      <sz val="9"/>
      <color theme="0"/>
      <name val="Arial"/>
      <family val="2"/>
    </font>
    <font>
      <b/>
      <sz val="9"/>
      <color theme="1"/>
      <name val="Arial"/>
      <family val="2"/>
    </font>
    <font>
      <sz val="9"/>
      <color theme="1"/>
      <name val="Arial"/>
      <family val="2"/>
    </font>
    <font>
      <i/>
      <sz val="9"/>
      <color theme="1"/>
      <name val="Arial"/>
      <family val="2"/>
    </font>
    <font>
      <sz val="9"/>
      <color rgb="FF000000"/>
      <name val="Arial"/>
      <family val="2"/>
    </font>
    <font>
      <b/>
      <sz val="9"/>
      <name val="Arial"/>
      <family val="2"/>
    </font>
    <font>
      <b/>
      <u/>
      <sz val="9"/>
      <color theme="1"/>
      <name val="Arial"/>
      <family val="2"/>
    </font>
    <font>
      <sz val="10"/>
      <color theme="1"/>
      <name val="Arial"/>
      <family val="2"/>
    </font>
    <font>
      <sz val="16"/>
      <color theme="1"/>
      <name val="Arial"/>
      <family val="2"/>
    </font>
    <font>
      <sz val="11"/>
      <color theme="1"/>
      <name val="Arial"/>
      <family val="2"/>
    </font>
    <font>
      <sz val="11"/>
      <color rgb="FF1F497D"/>
      <name val="Arial"/>
      <family val="2"/>
    </font>
    <font>
      <sz val="9"/>
      <name val="Arial"/>
      <family val="2"/>
    </font>
    <font>
      <b/>
      <u/>
      <sz val="9"/>
      <name val="Arial"/>
      <family val="2"/>
    </font>
    <font>
      <b/>
      <sz val="10"/>
      <color rgb="FF000000"/>
      <name val="Segoe UI"/>
      <family val="2"/>
    </font>
    <font>
      <sz val="10"/>
      <color rgb="FF000000"/>
      <name val="Segoe UI"/>
      <family val="2"/>
    </font>
  </fonts>
  <fills count="11">
    <fill>
      <patternFill patternType="none"/>
    </fill>
    <fill>
      <patternFill patternType="gray125"/>
    </fill>
    <fill>
      <patternFill patternType="solid">
        <fgColor rgb="FFFFFFCC"/>
        <bgColor indexed="64"/>
      </patternFill>
    </fill>
    <fill>
      <patternFill patternType="solid">
        <fgColor rgb="FFFFFFCC"/>
        <bgColor rgb="FF000000"/>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9"/>
        <bgColor indexed="64"/>
      </patternFill>
    </fill>
    <fill>
      <patternFill patternType="solid">
        <fgColor theme="4"/>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indexed="64"/>
      </top>
      <bottom style="double">
        <color indexed="64"/>
      </bottom>
      <diagonal/>
    </border>
    <border>
      <left/>
      <right/>
      <top/>
      <bottom style="double">
        <color indexed="64"/>
      </bottom>
      <diagonal/>
    </border>
    <border>
      <left style="thin">
        <color auto="1"/>
      </left>
      <right style="thin">
        <color auto="1"/>
      </right>
      <top style="thin">
        <color auto="1"/>
      </top>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7">
    <xf numFmtId="0" fontId="0" fillId="0" borderId="0" xfId="0"/>
    <xf numFmtId="0" fontId="0" fillId="0" borderId="0" xfId="0" applyAlignment="1">
      <alignment horizontal="left"/>
    </xf>
    <xf numFmtId="165" fontId="0" fillId="0" borderId="0" xfId="2" applyNumberFormat="1" applyFont="1"/>
    <xf numFmtId="0" fontId="2" fillId="0" borderId="0" xfId="0" applyFont="1" applyAlignment="1">
      <alignment horizontal="left"/>
    </xf>
    <xf numFmtId="165" fontId="0" fillId="0" borderId="0" xfId="0" applyNumberFormat="1"/>
    <xf numFmtId="9" fontId="0" fillId="2" borderId="1" xfId="3" applyFont="1" applyFill="1" applyBorder="1"/>
    <xf numFmtId="164" fontId="0" fillId="2" borderId="1" xfId="1" applyNumberFormat="1" applyFont="1" applyFill="1" applyBorder="1"/>
    <xf numFmtId="165" fontId="0" fillId="2" borderId="1" xfId="2" applyNumberFormat="1" applyFont="1" applyFill="1" applyBorder="1"/>
    <xf numFmtId="0" fontId="5" fillId="0" borderId="0" xfId="0" applyFont="1"/>
    <xf numFmtId="165" fontId="0" fillId="0" borderId="3" xfId="0" applyNumberFormat="1" applyBorder="1"/>
    <xf numFmtId="0" fontId="2" fillId="0" borderId="2" xfId="0" applyFont="1" applyBorder="1" applyAlignment="1">
      <alignment horizontal="right"/>
    </xf>
    <xf numFmtId="0" fontId="0" fillId="0" borderId="3" xfId="0" applyBorder="1"/>
    <xf numFmtId="0" fontId="0" fillId="0" borderId="6" xfId="0" applyBorder="1" applyAlignment="1">
      <alignment horizontal="right"/>
    </xf>
    <xf numFmtId="0" fontId="0" fillId="0" borderId="7" xfId="0" applyBorder="1"/>
    <xf numFmtId="0" fontId="0" fillId="0" borderId="4" xfId="0" applyBorder="1"/>
    <xf numFmtId="0" fontId="0" fillId="0" borderId="8" xfId="0" applyBorder="1" applyAlignment="1">
      <alignment horizontal="right"/>
    </xf>
    <xf numFmtId="0" fontId="0" fillId="0" borderId="9" xfId="0" applyBorder="1"/>
    <xf numFmtId="0" fontId="0" fillId="0" borderId="6" xfId="0" applyBorder="1" applyAlignment="1">
      <alignment horizontal="left"/>
    </xf>
    <xf numFmtId="165" fontId="0" fillId="2" borderId="0" xfId="2" applyNumberFormat="1" applyFont="1" applyFill="1" applyBorder="1"/>
    <xf numFmtId="0" fontId="0" fillId="0" borderId="10" xfId="0" applyBorder="1"/>
    <xf numFmtId="165" fontId="0" fillId="0" borderId="10" xfId="0" applyNumberFormat="1" applyBorder="1"/>
    <xf numFmtId="165" fontId="0" fillId="0" borderId="9" xfId="0" applyNumberFormat="1" applyBorder="1"/>
    <xf numFmtId="165" fontId="2" fillId="0" borderId="3" xfId="0" applyNumberFormat="1" applyFont="1" applyBorder="1"/>
    <xf numFmtId="165" fontId="0" fillId="0" borderId="5" xfId="0" applyNumberFormat="1" applyBorder="1"/>
    <xf numFmtId="0" fontId="2" fillId="0" borderId="0" xfId="0" applyFont="1" applyAlignment="1">
      <alignment horizontal="right"/>
    </xf>
    <xf numFmtId="0" fontId="0" fillId="0" borderId="6" xfId="0" applyBorder="1"/>
    <xf numFmtId="0" fontId="0" fillId="0" borderId="11" xfId="0" applyBorder="1"/>
    <xf numFmtId="165" fontId="0" fillId="2" borderId="7" xfId="2" applyNumberFormat="1" applyFont="1" applyFill="1" applyBorder="1"/>
    <xf numFmtId="165" fontId="0" fillId="0" borderId="7" xfId="0" applyNumberFormat="1" applyBorder="1"/>
    <xf numFmtId="0" fontId="2" fillId="0" borderId="6" xfId="0" applyFont="1" applyBorder="1" applyAlignment="1">
      <alignment horizontal="right"/>
    </xf>
    <xf numFmtId="0" fontId="0" fillId="0" borderId="12" xfId="0" applyBorder="1" applyAlignment="1">
      <alignment horizontal="right"/>
    </xf>
    <xf numFmtId="165" fontId="0" fillId="2" borderId="10" xfId="2" applyNumberFormat="1" applyFont="1" applyFill="1" applyBorder="1"/>
    <xf numFmtId="0" fontId="0" fillId="0" borderId="0" xfId="0" applyAlignment="1">
      <alignment vertical="top" wrapText="1"/>
    </xf>
    <xf numFmtId="9" fontId="0" fillId="6" borderId="0" xfId="3" applyFont="1" applyFill="1"/>
    <xf numFmtId="9" fontId="0" fillId="5" borderId="0" xfId="3" applyFont="1" applyFill="1"/>
    <xf numFmtId="0" fontId="2" fillId="0" borderId="0" xfId="0" applyFont="1"/>
    <xf numFmtId="0" fontId="8" fillId="0" borderId="0" xfId="0" applyFont="1"/>
    <xf numFmtId="0" fontId="3" fillId="0" borderId="0" xfId="0" applyFont="1" applyAlignment="1">
      <alignment horizontal="left"/>
    </xf>
    <xf numFmtId="0" fontId="5" fillId="0" borderId="13" xfId="0" applyFont="1" applyBorder="1"/>
    <xf numFmtId="165" fontId="0" fillId="0" borderId="13" xfId="0" applyNumberFormat="1" applyBorder="1"/>
    <xf numFmtId="0" fontId="4" fillId="7" borderId="0" xfId="0" applyFont="1" applyFill="1"/>
    <xf numFmtId="0" fontId="0" fillId="7" borderId="0" xfId="0" applyFill="1"/>
    <xf numFmtId="0" fontId="4" fillId="8" borderId="0" xfId="0" applyFont="1" applyFill="1"/>
    <xf numFmtId="0" fontId="0" fillId="8" borderId="0" xfId="0" applyFill="1"/>
    <xf numFmtId="0" fontId="5" fillId="7" borderId="0" xfId="0" applyFont="1" applyFill="1"/>
    <xf numFmtId="0" fontId="5" fillId="7" borderId="7" xfId="0" applyFont="1" applyFill="1" applyBorder="1"/>
    <xf numFmtId="165" fontId="2" fillId="7" borderId="0" xfId="0" applyNumberFormat="1" applyFont="1" applyFill="1"/>
    <xf numFmtId="165" fontId="0" fillId="7" borderId="0" xfId="0" applyNumberFormat="1" applyFill="1"/>
    <xf numFmtId="0" fontId="8" fillId="7" borderId="0" xfId="0" applyFont="1" applyFill="1"/>
    <xf numFmtId="0" fontId="2" fillId="8" borderId="0" xfId="0" applyFont="1" applyFill="1"/>
    <xf numFmtId="0" fontId="0" fillId="0" borderId="0" xfId="0" applyAlignment="1">
      <alignment horizontal="right"/>
    </xf>
    <xf numFmtId="164" fontId="0" fillId="0" borderId="0" xfId="1" applyNumberFormat="1" applyFont="1"/>
    <xf numFmtId="44" fontId="0" fillId="0" borderId="0" xfId="0" applyNumberFormat="1"/>
    <xf numFmtId="0" fontId="4" fillId="0" borderId="7" xfId="0" applyFont="1" applyBorder="1" applyAlignment="1">
      <alignment horizontal="right"/>
    </xf>
    <xf numFmtId="0" fontId="8" fillId="7" borderId="7" xfId="0" applyFont="1" applyFill="1" applyBorder="1"/>
    <xf numFmtId="165" fontId="0" fillId="7" borderId="7" xfId="0" applyNumberFormat="1" applyFill="1" applyBorder="1"/>
    <xf numFmtId="165" fontId="2" fillId="0" borderId="0" xfId="0" applyNumberFormat="1" applyFont="1"/>
    <xf numFmtId="164" fontId="0" fillId="7" borderId="0" xfId="1" applyNumberFormat="1" applyFont="1" applyFill="1" applyBorder="1"/>
    <xf numFmtId="0" fontId="5" fillId="0" borderId="14" xfId="0" applyFont="1" applyBorder="1" applyAlignment="1">
      <alignment horizontal="right"/>
    </xf>
    <xf numFmtId="9" fontId="0" fillId="0" borderId="0" xfId="3" applyFont="1"/>
    <xf numFmtId="0" fontId="10" fillId="0" borderId="0" xfId="0" applyFont="1" applyAlignment="1">
      <alignment horizontal="left" vertical="top"/>
    </xf>
    <xf numFmtId="0" fontId="12" fillId="0" borderId="0" xfId="0" applyFont="1" applyAlignment="1">
      <alignment horizontal="left" vertical="top"/>
    </xf>
    <xf numFmtId="168" fontId="13" fillId="0" borderId="0" xfId="3" applyNumberFormat="1" applyFont="1" applyAlignment="1">
      <alignment vertical="top"/>
    </xf>
    <xf numFmtId="0" fontId="17" fillId="0" borderId="0" xfId="0" applyFont="1" applyAlignment="1">
      <alignment vertical="top"/>
    </xf>
    <xf numFmtId="0" fontId="17" fillId="0" borderId="9" xfId="0" applyFont="1" applyBorder="1" applyAlignment="1">
      <alignment vertical="top"/>
    </xf>
    <xf numFmtId="0" fontId="17" fillId="4" borderId="3" xfId="0" applyFont="1" applyFill="1" applyBorder="1" applyAlignment="1">
      <alignment horizontal="center" vertical="top"/>
    </xf>
    <xf numFmtId="0" fontId="17" fillId="0" borderId="9" xfId="0" applyFont="1" applyBorder="1" applyAlignment="1">
      <alignment horizontal="left" vertical="top"/>
    </xf>
    <xf numFmtId="164" fontId="17" fillId="2" borderId="1" xfId="1" applyNumberFormat="1" applyFont="1" applyFill="1" applyBorder="1" applyAlignment="1">
      <alignment vertical="top"/>
    </xf>
    <xf numFmtId="0" fontId="17" fillId="0" borderId="0" xfId="0" applyFont="1" applyAlignment="1">
      <alignment vertical="top" wrapText="1"/>
    </xf>
    <xf numFmtId="165" fontId="17" fillId="0" borderId="0" xfId="2" applyNumberFormat="1" applyFont="1" applyAlignment="1">
      <alignment vertical="top"/>
    </xf>
    <xf numFmtId="9" fontId="17" fillId="0" borderId="0" xfId="3" applyFont="1" applyAlignment="1">
      <alignment vertical="top"/>
    </xf>
    <xf numFmtId="164" fontId="17" fillId="0" borderId="0" xfId="1" applyNumberFormat="1" applyFont="1" applyAlignment="1">
      <alignment vertical="top"/>
    </xf>
    <xf numFmtId="164" fontId="17" fillId="0" borderId="0" xfId="1" applyNumberFormat="1" applyFont="1" applyFill="1" applyBorder="1" applyAlignment="1">
      <alignment vertical="top"/>
    </xf>
    <xf numFmtId="164" fontId="17" fillId="0" borderId="0" xfId="0" applyNumberFormat="1" applyFont="1" applyAlignment="1">
      <alignment vertical="top"/>
    </xf>
    <xf numFmtId="0" fontId="16" fillId="0" borderId="0" xfId="0" applyFont="1" applyAlignment="1">
      <alignment vertical="top"/>
    </xf>
    <xf numFmtId="0" fontId="17" fillId="0" borderId="0" xfId="0" applyFont="1" applyAlignment="1">
      <alignment horizontal="right" vertical="top"/>
    </xf>
    <xf numFmtId="166" fontId="17" fillId="0" borderId="0" xfId="0" applyNumberFormat="1" applyFont="1" applyAlignment="1">
      <alignment vertical="top"/>
    </xf>
    <xf numFmtId="9" fontId="16" fillId="0" borderId="0" xfId="3" applyFont="1" applyAlignment="1">
      <alignment vertical="top"/>
    </xf>
    <xf numFmtId="0" fontId="18" fillId="0" borderId="0" xfId="0" applyFont="1" applyAlignment="1">
      <alignment horizontal="right" vertical="top"/>
    </xf>
    <xf numFmtId="9" fontId="18" fillId="0" borderId="0" xfId="3" applyFont="1" applyAlignment="1">
      <alignment vertical="top"/>
    </xf>
    <xf numFmtId="165" fontId="17" fillId="0" borderId="0" xfId="0" applyNumberFormat="1" applyFont="1" applyAlignment="1">
      <alignment vertical="top"/>
    </xf>
    <xf numFmtId="9" fontId="16" fillId="0" borderId="0" xfId="3" applyFont="1" applyAlignment="1">
      <alignment horizontal="right" vertical="top"/>
    </xf>
    <xf numFmtId="0" fontId="16" fillId="0" borderId="0" xfId="0" applyFont="1" applyAlignment="1">
      <alignment horizontal="left" vertical="top"/>
    </xf>
    <xf numFmtId="168" fontId="17" fillId="0" borderId="0" xfId="0" applyNumberFormat="1" applyFont="1" applyAlignment="1">
      <alignment vertical="top"/>
    </xf>
    <xf numFmtId="0" fontId="17" fillId="0" borderId="0" xfId="0" applyFont="1" applyAlignment="1">
      <alignment horizontal="left" vertical="top"/>
    </xf>
    <xf numFmtId="43" fontId="17" fillId="0" borderId="0" xfId="0" applyNumberFormat="1" applyFont="1" applyAlignment="1">
      <alignment vertical="top"/>
    </xf>
    <xf numFmtId="0" fontId="19" fillId="0" borderId="0" xfId="0" applyFont="1" applyAlignment="1">
      <alignment vertical="top"/>
    </xf>
    <xf numFmtId="9" fontId="17" fillId="2" borderId="3" xfId="3" applyFont="1" applyFill="1" applyBorder="1" applyAlignment="1">
      <alignment horizontal="center" vertical="top"/>
    </xf>
    <xf numFmtId="37" fontId="17" fillId="2" borderId="3" xfId="1" applyNumberFormat="1" applyFont="1" applyFill="1" applyBorder="1" applyAlignment="1">
      <alignment horizontal="center" vertical="top"/>
    </xf>
    <xf numFmtId="9" fontId="17" fillId="2" borderId="1" xfId="3" applyFont="1" applyFill="1" applyBorder="1" applyAlignment="1">
      <alignment horizontal="center" vertical="top"/>
    </xf>
    <xf numFmtId="9" fontId="16" fillId="2" borderId="1" xfId="3" applyFont="1" applyFill="1" applyBorder="1" applyAlignment="1">
      <alignment horizontal="center" vertical="top"/>
    </xf>
    <xf numFmtId="9" fontId="17" fillId="0" borderId="1" xfId="3" applyFont="1" applyFill="1" applyBorder="1" applyAlignment="1" applyProtection="1">
      <alignment horizontal="center" vertical="top"/>
    </xf>
    <xf numFmtId="168" fontId="17" fillId="2" borderId="1" xfId="3" applyNumberFormat="1" applyFont="1" applyFill="1" applyBorder="1" applyAlignment="1">
      <alignment horizontal="center" vertical="top"/>
    </xf>
    <xf numFmtId="164" fontId="17" fillId="2" borderId="1" xfId="1" applyNumberFormat="1" applyFont="1" applyFill="1" applyBorder="1" applyAlignment="1">
      <alignment horizontal="center" vertical="top"/>
    </xf>
    <xf numFmtId="9" fontId="17" fillId="2" borderId="1" xfId="1" applyNumberFormat="1" applyFont="1" applyFill="1" applyBorder="1" applyAlignment="1">
      <alignment horizontal="center" vertical="top"/>
    </xf>
    <xf numFmtId="49" fontId="17" fillId="2" borderId="1" xfId="1" applyNumberFormat="1" applyFont="1" applyFill="1" applyBorder="1" applyAlignment="1">
      <alignment horizontal="center" vertical="top"/>
    </xf>
    <xf numFmtId="0" fontId="17" fillId="0" borderId="5" xfId="0" applyFont="1" applyBorder="1" applyAlignment="1">
      <alignment vertical="top"/>
    </xf>
    <xf numFmtId="0" fontId="16" fillId="0" borderId="7" xfId="0" applyFont="1" applyBorder="1" applyAlignment="1">
      <alignment vertical="top"/>
    </xf>
    <xf numFmtId="2" fontId="17" fillId="0" borderId="0" xfId="0" applyNumberFormat="1" applyFont="1" applyAlignment="1">
      <alignment vertical="top"/>
    </xf>
    <xf numFmtId="0" fontId="16" fillId="0" borderId="7" xfId="0" applyFont="1" applyBorder="1" applyAlignment="1">
      <alignment horizontal="left" vertical="top"/>
    </xf>
    <xf numFmtId="0" fontId="17" fillId="0" borderId="7" xfId="0" applyFont="1" applyBorder="1" applyAlignment="1">
      <alignment vertical="top"/>
    </xf>
    <xf numFmtId="9" fontId="17" fillId="0" borderId="3" xfId="3" applyFont="1" applyFill="1" applyBorder="1" applyAlignment="1" applyProtection="1">
      <alignment horizontal="center" vertical="top"/>
    </xf>
    <xf numFmtId="164" fontId="19" fillId="0" borderId="0" xfId="0" applyNumberFormat="1" applyFont="1" applyAlignment="1">
      <alignment horizontal="left" vertical="top"/>
    </xf>
    <xf numFmtId="0" fontId="19" fillId="0" borderId="0" xfId="0" applyFont="1" applyAlignment="1">
      <alignment horizontal="left" vertical="top"/>
    </xf>
    <xf numFmtId="2" fontId="17" fillId="0" borderId="5" xfId="0" applyNumberFormat="1" applyFont="1" applyBorder="1" applyAlignment="1">
      <alignment vertical="top"/>
    </xf>
    <xf numFmtId="0" fontId="17" fillId="0" borderId="10" xfId="0" applyFont="1" applyBorder="1" applyAlignment="1">
      <alignment vertical="top"/>
    </xf>
    <xf numFmtId="9" fontId="17" fillId="2" borderId="15" xfId="3" applyFont="1" applyFill="1" applyBorder="1" applyAlignment="1">
      <alignment horizontal="center" vertical="top"/>
    </xf>
    <xf numFmtId="0" fontId="20" fillId="0" borderId="0" xfId="0" applyFont="1" applyAlignment="1">
      <alignment horizontal="left" vertical="top"/>
    </xf>
    <xf numFmtId="0" fontId="21" fillId="0" borderId="0" xfId="0" applyFont="1" applyAlignment="1">
      <alignment vertical="top"/>
    </xf>
    <xf numFmtId="0" fontId="16" fillId="8" borderId="0" xfId="0" applyFont="1" applyFill="1" applyAlignment="1">
      <alignment vertical="top"/>
    </xf>
    <xf numFmtId="0" fontId="17" fillId="8" borderId="0" xfId="0" applyFont="1" applyFill="1" applyAlignment="1">
      <alignment vertical="top"/>
    </xf>
    <xf numFmtId="0" fontId="17" fillId="7" borderId="10" xfId="0" applyFont="1" applyFill="1" applyBorder="1" applyAlignment="1">
      <alignment vertical="top"/>
    </xf>
    <xf numFmtId="0" fontId="17" fillId="7" borderId="0" xfId="0" applyFont="1" applyFill="1" applyAlignment="1">
      <alignment vertical="top"/>
    </xf>
    <xf numFmtId="0" fontId="18" fillId="7" borderId="0" xfId="0" applyFont="1" applyFill="1" applyAlignment="1">
      <alignment vertical="top"/>
    </xf>
    <xf numFmtId="167" fontId="17" fillId="0" borderId="0" xfId="0" applyNumberFormat="1" applyFont="1" applyAlignment="1">
      <alignment vertical="top"/>
    </xf>
    <xf numFmtId="9" fontId="17" fillId="7" borderId="0" xfId="0" applyNumberFormat="1" applyFont="1" applyFill="1" applyAlignment="1">
      <alignment vertical="top"/>
    </xf>
    <xf numFmtId="0" fontId="16" fillId="0" borderId="10" xfId="0" applyFont="1" applyBorder="1" applyAlignment="1">
      <alignment horizontal="right" vertical="top"/>
    </xf>
    <xf numFmtId="0" fontId="16" fillId="7" borderId="10" xfId="0" applyFont="1" applyFill="1" applyBorder="1" applyAlignment="1">
      <alignment horizontal="right" vertical="top"/>
    </xf>
    <xf numFmtId="0" fontId="16" fillId="7" borderId="0" xfId="0" applyFont="1" applyFill="1" applyAlignment="1">
      <alignment vertical="top"/>
    </xf>
    <xf numFmtId="165" fontId="17" fillId="7" borderId="0" xfId="2" applyNumberFormat="1" applyFont="1" applyFill="1" applyAlignment="1">
      <alignment vertical="top"/>
    </xf>
    <xf numFmtId="0" fontId="17" fillId="7" borderId="0" xfId="0" applyFont="1" applyFill="1" applyAlignment="1">
      <alignment horizontal="right" vertical="top"/>
    </xf>
    <xf numFmtId="0" fontId="16" fillId="0" borderId="14" xfId="0" applyFont="1" applyBorder="1" applyAlignment="1">
      <alignment horizontal="right" vertical="top"/>
    </xf>
    <xf numFmtId="0" fontId="16" fillId="7" borderId="14" xfId="0" applyFont="1" applyFill="1" applyBorder="1" applyAlignment="1">
      <alignment horizontal="right" vertical="top"/>
    </xf>
    <xf numFmtId="165" fontId="16" fillId="0" borderId="14" xfId="3" applyNumberFormat="1" applyFont="1" applyBorder="1" applyAlignment="1">
      <alignment vertical="top"/>
    </xf>
    <xf numFmtId="0" fontId="17" fillId="7" borderId="14" xfId="0" applyFont="1" applyFill="1" applyBorder="1" applyAlignment="1">
      <alignment vertical="top"/>
    </xf>
    <xf numFmtId="0" fontId="16" fillId="0" borderId="14" xfId="0" applyFont="1" applyBorder="1" applyAlignment="1">
      <alignment vertical="top"/>
    </xf>
    <xf numFmtId="0" fontId="16" fillId="7" borderId="14" xfId="0" applyFont="1" applyFill="1" applyBorder="1" applyAlignment="1">
      <alignment vertical="top"/>
    </xf>
    <xf numFmtId="165" fontId="16" fillId="0" borderId="0" xfId="3" applyNumberFormat="1" applyFont="1" applyBorder="1" applyAlignment="1">
      <alignment vertical="top"/>
    </xf>
    <xf numFmtId="165" fontId="16" fillId="7" borderId="0" xfId="0" applyNumberFormat="1" applyFont="1" applyFill="1" applyAlignment="1">
      <alignment vertical="top"/>
    </xf>
    <xf numFmtId="9" fontId="16" fillId="0" borderId="0" xfId="3" applyFont="1" applyBorder="1" applyAlignment="1">
      <alignment vertical="top"/>
    </xf>
    <xf numFmtId="0" fontId="16" fillId="0" borderId="10" xfId="0" applyFont="1" applyBorder="1" applyAlignment="1">
      <alignment vertical="top"/>
    </xf>
    <xf numFmtId="0" fontId="16" fillId="7" borderId="10" xfId="0" applyFont="1" applyFill="1" applyBorder="1" applyAlignment="1">
      <alignment vertical="top"/>
    </xf>
    <xf numFmtId="165" fontId="17" fillId="7" borderId="0" xfId="0" applyNumberFormat="1" applyFont="1" applyFill="1" applyAlignment="1">
      <alignment vertical="top"/>
    </xf>
    <xf numFmtId="6" fontId="19" fillId="0" borderId="0" xfId="0" applyNumberFormat="1" applyFont="1" applyAlignment="1">
      <alignment horizontal="left" vertical="top"/>
    </xf>
    <xf numFmtId="0" fontId="18" fillId="7" borderId="0" xfId="0" applyFont="1" applyFill="1" applyAlignment="1">
      <alignment horizontal="left" vertical="top"/>
    </xf>
    <xf numFmtId="9" fontId="17" fillId="0" borderId="0" xfId="3" applyFont="1" applyFill="1" applyAlignment="1">
      <alignment vertical="top"/>
    </xf>
    <xf numFmtId="6" fontId="17" fillId="0" borderId="0" xfId="0" applyNumberFormat="1" applyFont="1" applyAlignment="1">
      <alignment vertical="top"/>
    </xf>
    <xf numFmtId="0" fontId="18" fillId="7" borderId="10" xfId="0" applyFont="1" applyFill="1" applyBorder="1" applyAlignment="1">
      <alignment horizontal="left" vertical="top"/>
    </xf>
    <xf numFmtId="0" fontId="16" fillId="0" borderId="14" xfId="0" applyFont="1" applyBorder="1" applyAlignment="1">
      <alignment horizontal="left" vertical="top"/>
    </xf>
    <xf numFmtId="0" fontId="16" fillId="7" borderId="14" xfId="0" applyFont="1" applyFill="1" applyBorder="1" applyAlignment="1">
      <alignment horizontal="left" vertical="top"/>
    </xf>
    <xf numFmtId="165" fontId="16" fillId="0" borderId="0" xfId="0" applyNumberFormat="1" applyFont="1" applyAlignment="1">
      <alignment vertical="top"/>
    </xf>
    <xf numFmtId="164" fontId="17" fillId="0" borderId="0" xfId="1" applyNumberFormat="1" applyFont="1" applyAlignment="1">
      <alignment horizontal="center" vertical="top"/>
    </xf>
    <xf numFmtId="9" fontId="17" fillId="0" borderId="0" xfId="3" applyFont="1" applyAlignment="1">
      <alignment horizontal="center" vertical="top"/>
    </xf>
    <xf numFmtId="164" fontId="17" fillId="0" borderId="0" xfId="3" applyNumberFormat="1" applyFont="1" applyAlignment="1">
      <alignment horizontal="center" vertical="top"/>
    </xf>
    <xf numFmtId="0" fontId="21" fillId="0" borderId="10" xfId="0" applyFont="1" applyBorder="1" applyAlignment="1">
      <alignment horizontal="center" vertical="top"/>
    </xf>
    <xf numFmtId="0" fontId="21" fillId="0" borderId="0" xfId="0" applyFont="1" applyAlignment="1">
      <alignment horizontal="center" vertical="top"/>
    </xf>
    <xf numFmtId="164" fontId="17" fillId="0" borderId="0" xfId="0" applyNumberFormat="1" applyFont="1" applyAlignment="1">
      <alignment horizontal="center" vertical="top"/>
    </xf>
    <xf numFmtId="10" fontId="17" fillId="0" borderId="0" xfId="0" applyNumberFormat="1" applyFont="1" applyAlignment="1">
      <alignment horizontal="center" vertical="top"/>
    </xf>
    <xf numFmtId="165" fontId="17" fillId="0" borderId="0" xfId="2" applyNumberFormat="1" applyFont="1" applyAlignment="1">
      <alignment horizontal="center" vertical="top"/>
    </xf>
    <xf numFmtId="9" fontId="17" fillId="0" borderId="0" xfId="0" applyNumberFormat="1" applyFont="1" applyAlignment="1">
      <alignment horizontal="center" vertical="top"/>
    </xf>
    <xf numFmtId="168" fontId="17" fillId="0" borderId="0" xfId="0" applyNumberFormat="1" applyFont="1" applyAlignment="1">
      <alignment horizontal="center" vertical="top"/>
    </xf>
    <xf numFmtId="43" fontId="17" fillId="0" borderId="0" xfId="1" applyFont="1" applyAlignment="1">
      <alignment horizontal="center" vertical="top"/>
    </xf>
    <xf numFmtId="165" fontId="17" fillId="0" borderId="0" xfId="0" applyNumberFormat="1" applyFont="1" applyAlignment="1">
      <alignment horizontal="center" vertical="top"/>
    </xf>
    <xf numFmtId="164" fontId="17" fillId="0" borderId="0" xfId="1" applyNumberFormat="1" applyFont="1" applyFill="1" applyAlignment="1">
      <alignment horizontal="center" vertical="top"/>
    </xf>
    <xf numFmtId="9" fontId="17" fillId="0" borderId="0" xfId="3" applyFont="1" applyFill="1" applyAlignment="1">
      <alignment horizontal="center" vertical="top"/>
    </xf>
    <xf numFmtId="0" fontId="17" fillId="0" borderId="0" xfId="0" applyFont="1" applyAlignment="1">
      <alignment horizontal="right" vertical="top" wrapText="1"/>
    </xf>
    <xf numFmtId="0" fontId="18" fillId="7" borderId="0" xfId="0" applyFont="1" applyFill="1" applyAlignment="1">
      <alignment horizontal="right" vertical="top"/>
    </xf>
    <xf numFmtId="0" fontId="16" fillId="7" borderId="0" xfId="0" applyFont="1" applyFill="1" applyAlignment="1">
      <alignment horizontal="left" vertical="top"/>
    </xf>
    <xf numFmtId="0" fontId="16" fillId="0" borderId="10" xfId="0" applyFont="1" applyBorder="1" applyAlignment="1">
      <alignment horizontal="left" vertical="top"/>
    </xf>
    <xf numFmtId="0" fontId="16" fillId="7" borderId="10" xfId="0" applyFont="1" applyFill="1" applyBorder="1" applyAlignment="1">
      <alignment horizontal="left" vertical="top"/>
    </xf>
    <xf numFmtId="165" fontId="16" fillId="0" borderId="10" xfId="0" applyNumberFormat="1" applyFont="1" applyBorder="1" applyAlignment="1">
      <alignment vertical="top"/>
    </xf>
    <xf numFmtId="0" fontId="16" fillId="0" borderId="0" xfId="0" applyFont="1" applyAlignment="1">
      <alignment horizontal="right" vertical="top"/>
    </xf>
    <xf numFmtId="0" fontId="16" fillId="7" borderId="0" xfId="0" applyFont="1" applyFill="1" applyAlignment="1">
      <alignment horizontal="right" vertical="top"/>
    </xf>
    <xf numFmtId="0" fontId="17" fillId="7" borderId="10" xfId="0" applyFont="1" applyFill="1" applyBorder="1" applyAlignment="1">
      <alignment horizontal="center" vertical="top"/>
    </xf>
    <xf numFmtId="0" fontId="17" fillId="0" borderId="0" xfId="0" applyFont="1" applyAlignment="1">
      <alignment horizontal="center" vertical="top"/>
    </xf>
    <xf numFmtId="0" fontId="17" fillId="7" borderId="0" xfId="0" applyFont="1" applyFill="1" applyAlignment="1">
      <alignment horizontal="center" vertical="top"/>
    </xf>
    <xf numFmtId="165" fontId="17" fillId="0" borderId="0" xfId="2" applyNumberFormat="1" applyFont="1" applyBorder="1" applyAlignment="1">
      <alignment horizontal="center" vertical="top"/>
    </xf>
    <xf numFmtId="165" fontId="17" fillId="7" borderId="0" xfId="2" applyNumberFormat="1" applyFont="1" applyFill="1" applyBorder="1" applyAlignment="1">
      <alignment horizontal="center" vertical="top"/>
    </xf>
    <xf numFmtId="164" fontId="17" fillId="7" borderId="0" xfId="1" applyNumberFormat="1" applyFont="1" applyFill="1" applyAlignment="1">
      <alignment horizontal="center" vertical="top"/>
    </xf>
    <xf numFmtId="9" fontId="17" fillId="7" borderId="0" xfId="3" applyFont="1" applyFill="1" applyAlignment="1">
      <alignment horizontal="center" vertical="top"/>
    </xf>
    <xf numFmtId="165" fontId="16" fillId="0" borderId="0" xfId="0" applyNumberFormat="1" applyFont="1" applyAlignment="1">
      <alignment horizontal="center" vertical="top"/>
    </xf>
    <xf numFmtId="165" fontId="16" fillId="7" borderId="0" xfId="0" applyNumberFormat="1" applyFont="1" applyFill="1" applyAlignment="1">
      <alignment horizontal="center" vertical="top"/>
    </xf>
    <xf numFmtId="165" fontId="17" fillId="7" borderId="0" xfId="0" applyNumberFormat="1" applyFont="1" applyFill="1" applyAlignment="1">
      <alignment horizontal="center" vertical="top"/>
    </xf>
    <xf numFmtId="0" fontId="15" fillId="0" borderId="0" xfId="0" applyFont="1" applyAlignment="1">
      <alignment vertical="top"/>
    </xf>
    <xf numFmtId="166" fontId="16" fillId="0" borderId="0" xfId="0" applyNumberFormat="1" applyFont="1" applyAlignment="1">
      <alignment vertical="top"/>
    </xf>
    <xf numFmtId="44" fontId="17" fillId="0" borderId="0" xfId="0" applyNumberFormat="1" applyFont="1" applyAlignment="1">
      <alignment vertical="top"/>
    </xf>
    <xf numFmtId="9" fontId="16" fillId="0" borderId="0" xfId="3" applyFont="1" applyAlignment="1">
      <alignment horizontal="center" vertical="top"/>
    </xf>
    <xf numFmtId="168" fontId="13" fillId="0" borderId="0" xfId="3" applyNumberFormat="1" applyFont="1" applyAlignment="1">
      <alignment horizontal="left" vertical="top" wrapText="1"/>
    </xf>
    <xf numFmtId="168" fontId="13" fillId="0" borderId="0" xfId="3" applyNumberFormat="1" applyFont="1" applyAlignment="1">
      <alignment vertical="top" wrapText="1"/>
    </xf>
    <xf numFmtId="0" fontId="14" fillId="0" borderId="0" xfId="0" applyFont="1" applyAlignment="1">
      <alignment vertical="top"/>
    </xf>
    <xf numFmtId="0" fontId="22" fillId="0" borderId="0" xfId="0" applyFont="1" applyAlignment="1">
      <alignment vertical="top"/>
    </xf>
    <xf numFmtId="0" fontId="12" fillId="0" borderId="0" xfId="0" applyFont="1" applyAlignment="1">
      <alignment vertical="top"/>
    </xf>
    <xf numFmtId="0" fontId="23" fillId="0" borderId="0" xfId="0" applyFont="1" applyAlignment="1">
      <alignment vertical="top"/>
    </xf>
    <xf numFmtId="0" fontId="24" fillId="0" borderId="0" xfId="0" applyFont="1" applyAlignment="1">
      <alignment vertical="top"/>
    </xf>
    <xf numFmtId="0" fontId="25" fillId="0" borderId="0" xfId="0" applyFont="1" applyAlignment="1">
      <alignment vertical="top"/>
    </xf>
    <xf numFmtId="0" fontId="18" fillId="0" borderId="0" xfId="0" applyFont="1" applyAlignment="1">
      <alignment horizontal="right" vertical="top" wrapText="1"/>
    </xf>
    <xf numFmtId="0" fontId="26" fillId="4" borderId="1" xfId="0" applyFont="1" applyFill="1" applyBorder="1" applyAlignment="1">
      <alignment horizontal="center" vertical="top"/>
    </xf>
    <xf numFmtId="0" fontId="20" fillId="0" borderId="0" xfId="0" applyFont="1" applyAlignment="1">
      <alignment vertical="top"/>
    </xf>
    <xf numFmtId="0" fontId="20" fillId="0" borderId="7" xfId="0" applyFont="1" applyBorder="1" applyAlignment="1">
      <alignment vertical="top"/>
    </xf>
    <xf numFmtId="0" fontId="26" fillId="0" borderId="0" xfId="0" applyFont="1" applyAlignment="1">
      <alignment vertical="top"/>
    </xf>
    <xf numFmtId="0" fontId="27" fillId="0" borderId="0" xfId="0" applyFont="1" applyAlignment="1">
      <alignment horizontal="center" vertical="top"/>
    </xf>
    <xf numFmtId="0" fontId="24" fillId="0" borderId="0" xfId="0" applyFont="1" applyAlignment="1">
      <alignment horizontal="left" vertical="top" indent="17"/>
    </xf>
    <xf numFmtId="165" fontId="17" fillId="0" borderId="14" xfId="0" applyNumberFormat="1" applyFont="1" applyBorder="1" applyAlignment="1">
      <alignment horizontal="left" vertical="top" indent="17"/>
    </xf>
    <xf numFmtId="0" fontId="16" fillId="7" borderId="14" xfId="0" applyFont="1" applyFill="1" applyBorder="1" applyAlignment="1">
      <alignment horizontal="left" vertical="top" indent="17"/>
    </xf>
    <xf numFmtId="0" fontId="26" fillId="0" borderId="0" xfId="0" applyFont="1" applyAlignment="1">
      <alignment horizontal="right" vertical="top" wrapText="1"/>
    </xf>
    <xf numFmtId="169" fontId="17" fillId="2" borderId="3" xfId="2" applyNumberFormat="1" applyFont="1" applyFill="1" applyBorder="1" applyAlignment="1">
      <alignment horizontal="center" vertical="top"/>
    </xf>
    <xf numFmtId="169" fontId="16" fillId="0" borderId="10" xfId="3" applyNumberFormat="1" applyFont="1" applyBorder="1" applyAlignment="1">
      <alignment horizontal="center" vertical="top"/>
    </xf>
    <xf numFmtId="169" fontId="17" fillId="7" borderId="10" xfId="0" applyNumberFormat="1" applyFont="1" applyFill="1" applyBorder="1" applyAlignment="1">
      <alignment vertical="top"/>
    </xf>
    <xf numFmtId="169" fontId="16" fillId="0" borderId="14" xfId="0" applyNumberFormat="1" applyFont="1" applyBorder="1" applyAlignment="1">
      <alignment horizontal="center" vertical="top"/>
    </xf>
    <xf numFmtId="169" fontId="16" fillId="7" borderId="14" xfId="0" applyNumberFormat="1" applyFont="1" applyFill="1" applyBorder="1" applyAlignment="1">
      <alignment horizontal="center" vertical="top"/>
    </xf>
    <xf numFmtId="169" fontId="17" fillId="0" borderId="0" xfId="0" applyNumberFormat="1" applyFont="1" applyAlignment="1">
      <alignment horizontal="center" vertical="top"/>
    </xf>
    <xf numFmtId="169" fontId="17" fillId="7" borderId="0" xfId="0" applyNumberFormat="1" applyFont="1" applyFill="1" applyAlignment="1">
      <alignment vertical="top"/>
    </xf>
    <xf numFmtId="169" fontId="17" fillId="0" borderId="0" xfId="2" applyNumberFormat="1" applyFont="1" applyFill="1" applyAlignment="1">
      <alignment horizontal="center" vertical="top"/>
    </xf>
    <xf numFmtId="169" fontId="17" fillId="7" borderId="0" xfId="2" applyNumberFormat="1" applyFont="1" applyFill="1" applyAlignment="1">
      <alignment vertical="top"/>
    </xf>
    <xf numFmtId="169" fontId="16" fillId="0" borderId="10" xfId="2" applyNumberFormat="1" applyFont="1" applyFill="1" applyBorder="1" applyAlignment="1">
      <alignment horizontal="center" vertical="top"/>
    </xf>
    <xf numFmtId="169" fontId="16" fillId="7" borderId="10" xfId="2" applyNumberFormat="1" applyFont="1" applyFill="1" applyBorder="1" applyAlignment="1">
      <alignment vertical="top"/>
    </xf>
    <xf numFmtId="169" fontId="17" fillId="0" borderId="14" xfId="2" applyNumberFormat="1" applyFont="1" applyBorder="1" applyAlignment="1">
      <alignment horizontal="left" vertical="top" indent="17"/>
    </xf>
    <xf numFmtId="169" fontId="17" fillId="7" borderId="14" xfId="2" applyNumberFormat="1" applyFont="1" applyFill="1" applyBorder="1" applyAlignment="1">
      <alignment vertical="top"/>
    </xf>
    <xf numFmtId="169" fontId="17" fillId="0" borderId="14" xfId="2" applyNumberFormat="1" applyFont="1" applyBorder="1" applyAlignment="1">
      <alignment horizontal="center" vertical="top"/>
    </xf>
    <xf numFmtId="169" fontId="16" fillId="0" borderId="14" xfId="2" applyNumberFormat="1" applyFont="1" applyBorder="1" applyAlignment="1">
      <alignment horizontal="center" vertical="top"/>
    </xf>
    <xf numFmtId="169" fontId="16" fillId="7" borderId="14" xfId="2" applyNumberFormat="1" applyFont="1" applyFill="1" applyBorder="1" applyAlignment="1">
      <alignment vertical="top"/>
    </xf>
    <xf numFmtId="169" fontId="17" fillId="0" borderId="0" xfId="2" applyNumberFormat="1" applyFont="1" applyAlignment="1">
      <alignment horizontal="center" vertical="top"/>
    </xf>
    <xf numFmtId="169" fontId="17" fillId="7" borderId="0" xfId="0" applyNumberFormat="1" applyFont="1" applyFill="1" applyAlignment="1">
      <alignment horizontal="center" vertical="top"/>
    </xf>
    <xf numFmtId="169" fontId="16" fillId="0" borderId="10" xfId="0" applyNumberFormat="1" applyFont="1" applyBorder="1" applyAlignment="1">
      <alignment horizontal="center" vertical="top"/>
    </xf>
    <xf numFmtId="169" fontId="16" fillId="7" borderId="10" xfId="0" applyNumberFormat="1" applyFont="1" applyFill="1" applyBorder="1" applyAlignment="1">
      <alignment horizontal="center" vertical="top"/>
    </xf>
    <xf numFmtId="169" fontId="17" fillId="7" borderId="0" xfId="2" applyNumberFormat="1" applyFont="1" applyFill="1" applyAlignment="1">
      <alignment horizontal="center" vertical="top"/>
    </xf>
    <xf numFmtId="169" fontId="17" fillId="0" borderId="0" xfId="2" applyNumberFormat="1" applyFont="1" applyBorder="1" applyAlignment="1">
      <alignment horizontal="center" vertical="top"/>
    </xf>
    <xf numFmtId="169" fontId="17" fillId="7" borderId="0" xfId="2" applyNumberFormat="1" applyFont="1" applyFill="1" applyBorder="1" applyAlignment="1">
      <alignment horizontal="center" vertical="top"/>
    </xf>
    <xf numFmtId="169" fontId="16" fillId="0" borderId="10" xfId="2" applyNumberFormat="1" applyFont="1" applyBorder="1" applyAlignment="1">
      <alignment horizontal="center" vertical="top"/>
    </xf>
    <xf numFmtId="169" fontId="17" fillId="7" borderId="10" xfId="2" applyNumberFormat="1" applyFont="1" applyFill="1" applyBorder="1" applyAlignment="1">
      <alignment horizontal="center" vertical="top"/>
    </xf>
    <xf numFmtId="169" fontId="17" fillId="0" borderId="0" xfId="2" applyNumberFormat="1" applyFont="1" applyFill="1" applyBorder="1" applyAlignment="1">
      <alignment horizontal="center" vertical="top"/>
    </xf>
    <xf numFmtId="169" fontId="16" fillId="0" borderId="0" xfId="0" applyNumberFormat="1" applyFont="1" applyAlignment="1">
      <alignment horizontal="center" vertical="top"/>
    </xf>
    <xf numFmtId="169" fontId="16" fillId="7" borderId="0" xfId="0" applyNumberFormat="1" applyFont="1" applyFill="1" applyAlignment="1">
      <alignment horizontal="center" vertical="top"/>
    </xf>
    <xf numFmtId="169" fontId="19" fillId="3" borderId="1" xfId="0" applyNumberFormat="1" applyFont="1" applyFill="1" applyBorder="1" applyAlignment="1">
      <alignment horizontal="center" vertical="top"/>
    </xf>
    <xf numFmtId="168" fontId="13" fillId="0" borderId="0" xfId="3" applyNumberFormat="1" applyFont="1" applyAlignment="1">
      <alignment horizontal="left" vertical="top" wrapText="1" indent="17"/>
    </xf>
    <xf numFmtId="0" fontId="11" fillId="0" borderId="0" xfId="0" applyFont="1" applyAlignment="1">
      <alignment horizontal="left" vertical="top"/>
    </xf>
    <xf numFmtId="0" fontId="10" fillId="0" borderId="0" xfId="0" applyFont="1" applyAlignment="1">
      <alignment horizontal="left" vertical="top"/>
    </xf>
    <xf numFmtId="0" fontId="15" fillId="9" borderId="0" xfId="0" applyFont="1" applyFill="1" applyAlignment="1">
      <alignment horizontal="left" vertical="top"/>
    </xf>
    <xf numFmtId="0" fontId="20" fillId="8" borderId="0" xfId="0" applyFont="1" applyFill="1" applyAlignment="1">
      <alignment horizontal="center" vertical="top"/>
    </xf>
    <xf numFmtId="0" fontId="16" fillId="8" borderId="0" xfId="0" applyFont="1" applyFill="1" applyAlignment="1">
      <alignment horizontal="left" vertical="top"/>
    </xf>
    <xf numFmtId="0" fontId="20" fillId="8" borderId="5" xfId="0" applyFont="1" applyFill="1" applyBorder="1" applyAlignment="1">
      <alignment horizontal="left" vertical="top"/>
    </xf>
    <xf numFmtId="0" fontId="16" fillId="8" borderId="5" xfId="0" applyFont="1" applyFill="1" applyBorder="1" applyAlignment="1">
      <alignment horizontal="left" vertical="top"/>
    </xf>
    <xf numFmtId="0" fontId="5" fillId="8" borderId="0" xfId="0" applyFont="1" applyFill="1" applyAlignment="1">
      <alignment horizontal="center"/>
    </xf>
    <xf numFmtId="0" fontId="28" fillId="0" borderId="0" xfId="0" applyFont="1" applyAlignment="1">
      <alignment horizontal="left" vertical="center" wrapText="1"/>
    </xf>
    <xf numFmtId="0" fontId="2" fillId="0" borderId="0" xfId="0" applyFont="1" applyAlignment="1">
      <alignment wrapText="1"/>
    </xf>
    <xf numFmtId="0" fontId="28" fillId="0" borderId="0" xfId="0" applyFont="1" applyAlignment="1">
      <alignment wrapText="1"/>
    </xf>
    <xf numFmtId="0" fontId="17" fillId="10" borderId="0" xfId="0" applyFont="1" applyFill="1" applyAlignment="1">
      <alignment horizontal="center" vertical="top"/>
    </xf>
    <xf numFmtId="165" fontId="17" fillId="10" borderId="0" xfId="2" applyNumberFormat="1" applyFont="1" applyFill="1" applyAlignment="1">
      <alignment horizontal="center" vertical="top"/>
    </xf>
    <xf numFmtId="169" fontId="17" fillId="10" borderId="0" xfId="2" applyNumberFormat="1" applyFont="1" applyFill="1" applyAlignment="1">
      <alignment horizontal="center" vertical="top"/>
    </xf>
    <xf numFmtId="43" fontId="17" fillId="10" borderId="0" xfId="1" applyFont="1" applyFill="1" applyAlignment="1">
      <alignment horizontal="center" vertical="top"/>
    </xf>
    <xf numFmtId="164" fontId="17" fillId="10" borderId="0" xfId="1" applyNumberFormat="1" applyFont="1" applyFill="1" applyAlignment="1">
      <alignment horizontal="center" vertical="top"/>
    </xf>
    <xf numFmtId="9" fontId="17" fillId="10" borderId="0" xfId="3" applyFont="1" applyFill="1" applyAlignment="1">
      <alignment horizontal="center" vertical="top"/>
    </xf>
    <xf numFmtId="169" fontId="17" fillId="10" borderId="0" xfId="2" applyNumberFormat="1" applyFont="1" applyFill="1" applyBorder="1" applyAlignment="1">
      <alignment horizontal="center" vertical="top"/>
    </xf>
    <xf numFmtId="9" fontId="17" fillId="10" borderId="0" xfId="3" applyFont="1" applyFill="1" applyBorder="1" applyAlignment="1">
      <alignment horizontal="center" vertical="top"/>
    </xf>
    <xf numFmtId="169" fontId="17" fillId="10" borderId="0" xfId="0" applyNumberFormat="1" applyFont="1" applyFill="1" applyAlignment="1">
      <alignment horizontal="center" vertical="top"/>
    </xf>
    <xf numFmtId="0" fontId="17" fillId="0" borderId="0" xfId="0" applyFont="1" applyFill="1" applyAlignment="1">
      <alignment vertical="top"/>
    </xf>
    <xf numFmtId="170" fontId="17" fillId="0" borderId="0" xfId="2" applyNumberFormat="1" applyFont="1" applyAlignment="1">
      <alignment horizontal="center" vertical="top"/>
    </xf>
  </cellXfs>
  <cellStyles count="14">
    <cellStyle name="Comma" xfId="1" builtinId="3"/>
    <cellStyle name="Currency" xfId="2" builtinId="4"/>
    <cellStyle name="Followed Hyperlink" xfId="13" builtinId="9" hidden="1"/>
    <cellStyle name="Followed Hyperlink" xfId="9" builtinId="9" hidden="1"/>
    <cellStyle name="Followed Hyperlink" xfId="11" builtinId="9" hidden="1"/>
    <cellStyle name="Followed Hyperlink" xfId="7" builtinId="9" hidden="1"/>
    <cellStyle name="Followed Hyperlink" xfId="5" builtinId="9" hidden="1"/>
    <cellStyle name="Hyperlink" xfId="8" builtinId="8" hidden="1"/>
    <cellStyle name="Hyperlink" xfId="12" builtinId="8" hidden="1"/>
    <cellStyle name="Hyperlink" xfId="10" builtinId="8" hidden="1"/>
    <cellStyle name="Hyperlink" xfId="6" builtinId="8" hidden="1"/>
    <cellStyle name="Hyperlink" xfId="4" builtinId="8" hidden="1"/>
    <cellStyle name="Normal" xfId="0" builtinId="0"/>
    <cellStyle name="Percent" xfId="3"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140228</xdr:colOff>
      <xdr:row>64</xdr:row>
      <xdr:rowOff>120370</xdr:rowOff>
    </xdr:from>
    <xdr:to>
      <xdr:col>0</xdr:col>
      <xdr:colOff>1334028</xdr:colOff>
      <xdr:row>65</xdr:row>
      <xdr:rowOff>120039</xdr:rowOff>
    </xdr:to>
    <xdr:pic>
      <xdr:nvPicPr>
        <xdr:cNvPr id="2" name="Picture 1">
          <a:extLst>
            <a:ext uri="{FF2B5EF4-FFF2-40B4-BE49-F238E27FC236}">
              <a16:creationId xmlns:a16="http://schemas.microsoft.com/office/drawing/2014/main" id="{B55F27FE-4C72-4875-B178-B194EA1990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403" y="12706070"/>
          <a:ext cx="1190625" cy="190169"/>
        </a:xfrm>
        <a:prstGeom prst="rect">
          <a:avLst/>
        </a:prstGeom>
      </xdr:spPr>
    </xdr:pic>
    <xdr:clientData/>
  </xdr:twoCellAnchor>
  <xdr:oneCellAnchor>
    <xdr:from>
      <xdr:col>3</xdr:col>
      <xdr:colOff>1028700</xdr:colOff>
      <xdr:row>18</xdr:row>
      <xdr:rowOff>101600</xdr:rowOff>
    </xdr:from>
    <xdr:ext cx="2959100" cy="1454149"/>
    <xdr:sp macro="" textlink="">
      <xdr:nvSpPr>
        <xdr:cNvPr id="3" name="TextBox 2">
          <a:extLst>
            <a:ext uri="{FF2B5EF4-FFF2-40B4-BE49-F238E27FC236}">
              <a16:creationId xmlns:a16="http://schemas.microsoft.com/office/drawing/2014/main" id="{1A783074-52FD-77E8-EF3D-A4F2770CAFD8}"/>
            </a:ext>
          </a:extLst>
        </xdr:cNvPr>
        <xdr:cNvSpPr txBox="1"/>
      </xdr:nvSpPr>
      <xdr:spPr>
        <a:xfrm>
          <a:off x="9563100" y="3924300"/>
          <a:ext cx="2959100" cy="1454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Please note that we developed two versions of the business case: a version where we assume that the firm makes a lower investment but also reaps lower rewards and a version where we assume higher investment and higher reward. CX leaders can also calculate a business case using those two versions or only use one of the versions.</a:t>
          </a:r>
        </a:p>
      </xdr:txBody>
    </xdr:sp>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135731</xdr:colOff>
      <xdr:row>72</xdr:row>
      <xdr:rowOff>154777</xdr:rowOff>
    </xdr:from>
    <xdr:to>
      <xdr:col>0</xdr:col>
      <xdr:colOff>1323181</xdr:colOff>
      <xdr:row>72</xdr:row>
      <xdr:rowOff>344946</xdr:rowOff>
    </xdr:to>
    <xdr:pic>
      <xdr:nvPicPr>
        <xdr:cNvPr id="2" name="Picture 1">
          <a:extLst>
            <a:ext uri="{FF2B5EF4-FFF2-40B4-BE49-F238E27FC236}">
              <a16:creationId xmlns:a16="http://schemas.microsoft.com/office/drawing/2014/main" id="{BE895380-2340-4CDA-8E8D-A0D78EA9143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731" y="15318577"/>
          <a:ext cx="1190625" cy="1901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133350</xdr:colOff>
      <xdr:row>52</xdr:row>
      <xdr:rowOff>158750</xdr:rowOff>
    </xdr:from>
    <xdr:to>
      <xdr:col>0</xdr:col>
      <xdr:colOff>1320800</xdr:colOff>
      <xdr:row>52</xdr:row>
      <xdr:rowOff>355269</xdr:rowOff>
    </xdr:to>
    <xdr:pic>
      <xdr:nvPicPr>
        <xdr:cNvPr id="3" name="Picture 2">
          <a:extLst>
            <a:ext uri="{FF2B5EF4-FFF2-40B4-BE49-F238E27FC236}">
              <a16:creationId xmlns:a16="http://schemas.microsoft.com/office/drawing/2014/main" id="{CC67C80A-322B-4F2D-BA1D-A2F788E2D5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0144125"/>
          <a:ext cx="1190625" cy="190169"/>
        </a:xfrm>
        <a:prstGeom prst="rect">
          <a:avLst/>
        </a:prstGeom>
      </xdr:spPr>
    </xdr:pic>
    <xdr:clientData/>
  </xdr:twoCellAnchor>
  <xdr:oneCellAnchor>
    <xdr:from>
      <xdr:col>11</xdr:col>
      <xdr:colOff>292100</xdr:colOff>
      <xdr:row>10</xdr:row>
      <xdr:rowOff>133350</xdr:rowOff>
    </xdr:from>
    <xdr:ext cx="184731" cy="264560"/>
    <xdr:sp macro="" textlink="">
      <xdr:nvSpPr>
        <xdr:cNvPr id="2" name="TextBox 1">
          <a:extLst>
            <a:ext uri="{FF2B5EF4-FFF2-40B4-BE49-F238E27FC236}">
              <a16:creationId xmlns:a16="http://schemas.microsoft.com/office/drawing/2014/main" id="{3DDC9EE4-67E9-35FA-7698-62BF7B475EB5}"/>
            </a:ext>
          </a:extLst>
        </xdr:cNvPr>
        <xdr:cNvSpPr txBox="1"/>
      </xdr:nvSpPr>
      <xdr:spPr>
        <a:xfrm>
          <a:off x="12509500"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260350</xdr:colOff>
      <xdr:row>9</xdr:row>
      <xdr:rowOff>146050</xdr:rowOff>
    </xdr:from>
    <xdr:ext cx="184731" cy="264560"/>
    <xdr:sp macro="" textlink="">
      <xdr:nvSpPr>
        <xdr:cNvPr id="4" name="TextBox 3">
          <a:extLst>
            <a:ext uri="{FF2B5EF4-FFF2-40B4-BE49-F238E27FC236}">
              <a16:creationId xmlns:a16="http://schemas.microsoft.com/office/drawing/2014/main" id="{354A6131-64B5-604C-741A-305422BEDFEE}"/>
            </a:ext>
          </a:extLst>
        </xdr:cNvPr>
        <xdr:cNvSpPr txBox="1"/>
      </xdr:nvSpPr>
      <xdr:spPr>
        <a:xfrm>
          <a:off x="12477750" y="193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absolute">
    <xdr:from>
      <xdr:col>0</xdr:col>
      <xdr:colOff>124618</xdr:colOff>
      <xdr:row>24</xdr:row>
      <xdr:rowOff>161131</xdr:rowOff>
    </xdr:from>
    <xdr:to>
      <xdr:col>0</xdr:col>
      <xdr:colOff>1314449</xdr:colOff>
      <xdr:row>24</xdr:row>
      <xdr:rowOff>351300</xdr:rowOff>
    </xdr:to>
    <xdr:pic>
      <xdr:nvPicPr>
        <xdr:cNvPr id="2" name="Picture 1">
          <a:extLst>
            <a:ext uri="{FF2B5EF4-FFF2-40B4-BE49-F238E27FC236}">
              <a16:creationId xmlns:a16="http://schemas.microsoft.com/office/drawing/2014/main" id="{F5455644-62D4-465E-8328-447525E359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 y="4812506"/>
          <a:ext cx="1193006" cy="19016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120650</xdr:colOff>
      <xdr:row>25</xdr:row>
      <xdr:rowOff>171450</xdr:rowOff>
    </xdr:from>
    <xdr:to>
      <xdr:col>0</xdr:col>
      <xdr:colOff>1314450</xdr:colOff>
      <xdr:row>25</xdr:row>
      <xdr:rowOff>361619</xdr:rowOff>
    </xdr:to>
    <xdr:pic>
      <xdr:nvPicPr>
        <xdr:cNvPr id="4" name="Picture 3">
          <a:extLst>
            <a:ext uri="{FF2B5EF4-FFF2-40B4-BE49-F238E27FC236}">
              <a16:creationId xmlns:a16="http://schemas.microsoft.com/office/drawing/2014/main" id="{D0335F2E-9318-458E-8BFC-72A4303283D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5010150"/>
          <a:ext cx="1190625" cy="19016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122238</xdr:colOff>
      <xdr:row>25</xdr:row>
      <xdr:rowOff>163514</xdr:rowOff>
    </xdr:from>
    <xdr:to>
      <xdr:col>0</xdr:col>
      <xdr:colOff>1306513</xdr:colOff>
      <xdr:row>25</xdr:row>
      <xdr:rowOff>353683</xdr:rowOff>
    </xdr:to>
    <xdr:pic>
      <xdr:nvPicPr>
        <xdr:cNvPr id="2" name="Picture 1">
          <a:extLst>
            <a:ext uri="{FF2B5EF4-FFF2-40B4-BE49-F238E27FC236}">
              <a16:creationId xmlns:a16="http://schemas.microsoft.com/office/drawing/2014/main" id="{A383AC1D-8B14-4896-B9B3-3FA1B5080EF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063" y="5005389"/>
          <a:ext cx="1190625" cy="19016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CB534-AB19-447F-BC0A-1A2277A5A061}">
  <dimension ref="A2:A12"/>
  <sheetViews>
    <sheetView workbookViewId="0">
      <selection activeCell="A8" sqref="A8"/>
    </sheetView>
  </sheetViews>
  <sheetFormatPr defaultRowHeight="14.5" x14ac:dyDescent="0.35"/>
  <cols>
    <col min="1" max="1" width="145.81640625" customWidth="1"/>
  </cols>
  <sheetData>
    <row r="2" spans="1:1" s="35" customFormat="1" ht="47" customHeight="1" x14ac:dyDescent="0.45">
      <c r="A2" s="235" t="s">
        <v>188</v>
      </c>
    </row>
    <row r="4" spans="1:1" ht="101.5" x14ac:dyDescent="0.35">
      <c r="A4" s="234" t="s">
        <v>189</v>
      </c>
    </row>
    <row r="6" spans="1:1" ht="32" x14ac:dyDescent="0.35">
      <c r="A6" s="233" t="s">
        <v>187</v>
      </c>
    </row>
    <row r="8" spans="1:1" ht="32" x14ac:dyDescent="0.35">
      <c r="A8" s="233" t="s">
        <v>190</v>
      </c>
    </row>
    <row r="10" spans="1:1" ht="32" x14ac:dyDescent="0.35">
      <c r="A10" s="233" t="s">
        <v>186</v>
      </c>
    </row>
    <row r="12" spans="1:1" ht="48" x14ac:dyDescent="0.35">
      <c r="A12" s="233" t="s">
        <v>185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BB73"/>
  <sheetViews>
    <sheetView tabSelected="1" zoomScaleNormal="100" zoomScalePageLayoutView="125" workbookViewId="0">
      <selection activeCell="E18" sqref="E18:E27"/>
    </sheetView>
  </sheetViews>
  <sheetFormatPr defaultColWidth="8.81640625" defaultRowHeight="14" x14ac:dyDescent="0.35"/>
  <cols>
    <col min="1" max="1" width="90.7265625" style="183" customWidth="1"/>
    <col min="2" max="4" width="15.7265625" style="183" customWidth="1"/>
    <col min="5" max="5" width="30.1796875" style="183" customWidth="1"/>
    <col min="6" max="37" width="8.81640625" style="183" customWidth="1"/>
    <col min="38" max="16384" width="8.81640625" style="183"/>
  </cols>
  <sheetData>
    <row r="1" spans="1:8" s="180" customFormat="1" ht="15" customHeight="1" x14ac:dyDescent="0.35">
      <c r="A1" s="60" t="s">
        <v>0</v>
      </c>
    </row>
    <row r="2" spans="1:8" s="182" customFormat="1" ht="21" customHeight="1" x14ac:dyDescent="0.35">
      <c r="A2" s="225" t="s">
        <v>1</v>
      </c>
      <c r="B2" s="225"/>
      <c r="C2" s="225"/>
      <c r="D2" s="225"/>
      <c r="E2" s="225"/>
    </row>
    <row r="3" spans="1:8" s="180" customFormat="1" ht="15" customHeight="1" x14ac:dyDescent="0.35">
      <c r="A3" s="61" t="s">
        <v>2</v>
      </c>
      <c r="B3" s="181"/>
      <c r="C3" s="181"/>
      <c r="D3" s="181"/>
      <c r="E3" s="181"/>
    </row>
    <row r="4" spans="1:8" s="180" customFormat="1" ht="15" customHeight="1" x14ac:dyDescent="0.35">
      <c r="B4" s="181"/>
      <c r="C4" s="181"/>
      <c r="D4" s="181"/>
      <c r="E4" s="181"/>
    </row>
    <row r="5" spans="1:8" s="180" customFormat="1" ht="15" customHeight="1" x14ac:dyDescent="0.35">
      <c r="A5" s="181"/>
    </row>
    <row r="6" spans="1:8" s="180" customFormat="1" ht="15" customHeight="1" x14ac:dyDescent="0.35">
      <c r="A6" s="226" t="s">
        <v>191</v>
      </c>
      <c r="B6" s="226"/>
      <c r="C6" s="226"/>
      <c r="D6" s="226"/>
      <c r="E6" s="226"/>
    </row>
    <row r="7" spans="1:8" s="63" customFormat="1" ht="15" customHeight="1" x14ac:dyDescent="0.35"/>
    <row r="8" spans="1:8" s="63" customFormat="1" ht="15" customHeight="1" x14ac:dyDescent="0.35">
      <c r="A8" s="227" t="s">
        <v>3</v>
      </c>
      <c r="B8" s="227"/>
      <c r="C8" s="227"/>
      <c r="D8" s="227"/>
    </row>
    <row r="9" spans="1:8" s="63" customFormat="1" ht="15" customHeight="1" x14ac:dyDescent="0.35">
      <c r="A9" s="64"/>
      <c r="B9" s="65" t="s">
        <v>4</v>
      </c>
    </row>
    <row r="10" spans="1:8" s="63" customFormat="1" ht="40" customHeight="1" x14ac:dyDescent="0.35">
      <c r="A10" s="66" t="s">
        <v>5</v>
      </c>
      <c r="B10" s="88">
        <v>2000000</v>
      </c>
      <c r="D10" s="67"/>
      <c r="E10" s="68" t="s">
        <v>192</v>
      </c>
      <c r="F10" s="69"/>
      <c r="G10" s="70"/>
      <c r="H10" s="69"/>
    </row>
    <row r="11" spans="1:8" s="63" customFormat="1" ht="15" customHeight="1" x14ac:dyDescent="0.35">
      <c r="A11" s="66" t="s">
        <v>6</v>
      </c>
      <c r="B11" s="195">
        <v>400</v>
      </c>
      <c r="D11" s="71"/>
      <c r="E11" s="72"/>
      <c r="F11" s="69"/>
      <c r="G11" s="70"/>
      <c r="H11" s="69"/>
    </row>
    <row r="12" spans="1:8" s="63" customFormat="1" ht="15" customHeight="1" x14ac:dyDescent="0.35">
      <c r="A12" s="66" t="s">
        <v>170</v>
      </c>
      <c r="B12" s="195">
        <v>100</v>
      </c>
      <c r="D12" s="73"/>
      <c r="E12" s="72"/>
      <c r="F12" s="69"/>
      <c r="G12" s="70"/>
      <c r="H12" s="69"/>
    </row>
    <row r="13" spans="1:8" s="63" customFormat="1" ht="15" customHeight="1" x14ac:dyDescent="0.35">
      <c r="A13" s="66" t="s">
        <v>7</v>
      </c>
      <c r="B13" s="87">
        <v>0.2</v>
      </c>
      <c r="D13" s="73"/>
      <c r="E13" s="73"/>
      <c r="F13" s="71"/>
      <c r="G13" s="70"/>
      <c r="H13" s="69"/>
    </row>
    <row r="14" spans="1:8" s="63" customFormat="1" ht="15" customHeight="1" x14ac:dyDescent="0.35">
      <c r="A14" s="98"/>
      <c r="B14" s="104"/>
      <c r="D14" s="73"/>
      <c r="E14" s="73"/>
      <c r="F14" s="71"/>
      <c r="G14" s="70"/>
      <c r="H14" s="69"/>
    </row>
    <row r="15" spans="1:8" s="63" customFormat="1" ht="15" customHeight="1" x14ac:dyDescent="0.35">
      <c r="A15" s="97" t="s">
        <v>8</v>
      </c>
      <c r="D15" s="73"/>
      <c r="E15" s="73"/>
      <c r="F15" s="69"/>
      <c r="G15" s="70"/>
      <c r="H15" s="69"/>
    </row>
    <row r="16" spans="1:8" s="63" customFormat="1" ht="15" customHeight="1" x14ac:dyDescent="0.35">
      <c r="A16" s="64" t="s">
        <v>9</v>
      </c>
      <c r="B16" s="89">
        <v>0.7</v>
      </c>
      <c r="E16" s="75"/>
      <c r="F16" s="71"/>
      <c r="G16" s="70"/>
      <c r="H16" s="69"/>
    </row>
    <row r="17" spans="1:8" s="63" customFormat="1" ht="15" customHeight="1" x14ac:dyDescent="0.35">
      <c r="B17" s="76"/>
      <c r="E17" s="75"/>
      <c r="F17" s="70"/>
      <c r="G17" s="77"/>
      <c r="H17" s="69"/>
    </row>
    <row r="18" spans="1:8" s="63" customFormat="1" ht="15" customHeight="1" x14ac:dyDescent="0.35">
      <c r="B18" s="186" t="s">
        <v>10</v>
      </c>
      <c r="C18" s="186" t="s">
        <v>11</v>
      </c>
      <c r="E18" s="78"/>
      <c r="G18" s="79"/>
      <c r="H18" s="80"/>
    </row>
    <row r="19" spans="1:8" s="63" customFormat="1" ht="15" customHeight="1" x14ac:dyDescent="0.35">
      <c r="A19" s="74" t="s">
        <v>12</v>
      </c>
      <c r="B19" s="90">
        <v>0.8</v>
      </c>
      <c r="C19" s="90">
        <v>0.85</v>
      </c>
      <c r="E19" s="78"/>
      <c r="F19" s="77"/>
      <c r="G19" s="81"/>
    </row>
    <row r="20" spans="1:8" s="63" customFormat="1" ht="15" customHeight="1" x14ac:dyDescent="0.35">
      <c r="A20" s="63" t="s">
        <v>13</v>
      </c>
      <c r="B20" s="89">
        <v>0</v>
      </c>
      <c r="C20" s="89">
        <v>0</v>
      </c>
      <c r="E20" s="78"/>
      <c r="F20" s="79"/>
      <c r="G20" s="79"/>
    </row>
    <row r="21" spans="1:8" s="63" customFormat="1" ht="15" customHeight="1" x14ac:dyDescent="0.35">
      <c r="A21" s="78" t="s">
        <v>14</v>
      </c>
      <c r="B21" s="91">
        <f>B16-((B16-B19)*B20)</f>
        <v>0.7</v>
      </c>
      <c r="C21" s="91">
        <f>B16-((B16-C19)*C20)</f>
        <v>0.7</v>
      </c>
      <c r="E21" s="78"/>
      <c r="G21" s="70"/>
    </row>
    <row r="22" spans="1:8" s="63" customFormat="1" ht="15" customHeight="1" x14ac:dyDescent="0.35">
      <c r="A22" s="63" t="s">
        <v>15</v>
      </c>
      <c r="B22" s="89">
        <v>0.5</v>
      </c>
      <c r="C22" s="89">
        <v>0.5</v>
      </c>
      <c r="E22" s="78"/>
      <c r="G22" s="70"/>
    </row>
    <row r="23" spans="1:8" s="63" customFormat="1" ht="15" customHeight="1" x14ac:dyDescent="0.35">
      <c r="A23" s="78" t="s">
        <v>16</v>
      </c>
      <c r="B23" s="91">
        <f>B16-((B16-B19)*B22)</f>
        <v>0.75</v>
      </c>
      <c r="C23" s="91">
        <f>B16-((B16-C19)*C22)</f>
        <v>0.77499999999999991</v>
      </c>
      <c r="E23" s="78"/>
    </row>
    <row r="24" spans="1:8" s="63" customFormat="1" ht="15" customHeight="1" x14ac:dyDescent="0.35">
      <c r="A24" s="63" t="s">
        <v>17</v>
      </c>
      <c r="B24" s="89">
        <v>1</v>
      </c>
      <c r="C24" s="89">
        <v>1</v>
      </c>
      <c r="E24" s="78"/>
    </row>
    <row r="25" spans="1:8" s="63" customFormat="1" ht="15" customHeight="1" x14ac:dyDescent="0.35">
      <c r="A25" s="78" t="s">
        <v>18</v>
      </c>
      <c r="B25" s="91">
        <f>B16-((B16-B19)*B24)</f>
        <v>0.8</v>
      </c>
      <c r="C25" s="91">
        <f>B16-((B16-C19)*C24)</f>
        <v>0.85</v>
      </c>
      <c r="E25" s="78"/>
    </row>
    <row r="26" spans="1:8" s="63" customFormat="1" ht="15" customHeight="1" x14ac:dyDescent="0.35">
      <c r="A26" s="105"/>
      <c r="B26" s="104"/>
      <c r="E26" s="78"/>
    </row>
    <row r="27" spans="1:8" s="63" customFormat="1" ht="15" customHeight="1" x14ac:dyDescent="0.35">
      <c r="A27" s="187" t="s">
        <v>19</v>
      </c>
      <c r="B27" s="105"/>
      <c r="E27" s="78"/>
    </row>
    <row r="28" spans="1:8" s="63" customFormat="1" ht="15" customHeight="1" x14ac:dyDescent="0.35">
      <c r="A28" s="84" t="s">
        <v>183</v>
      </c>
      <c r="B28" s="92">
        <v>0.1</v>
      </c>
      <c r="E28" s="75"/>
      <c r="F28" s="70"/>
      <c r="G28" s="77"/>
    </row>
    <row r="29" spans="1:8" s="63" customFormat="1" ht="15" customHeight="1" x14ac:dyDescent="0.35">
      <c r="A29" s="84"/>
      <c r="D29" s="70"/>
      <c r="E29" s="78"/>
      <c r="G29" s="79"/>
    </row>
    <row r="30" spans="1:8" s="63" customFormat="1" ht="15" customHeight="1" x14ac:dyDescent="0.35">
      <c r="A30" s="84"/>
      <c r="B30" s="186" t="s">
        <v>10</v>
      </c>
      <c r="C30" s="186" t="s">
        <v>11</v>
      </c>
      <c r="E30" s="78"/>
      <c r="F30" s="79"/>
      <c r="G30" s="79"/>
    </row>
    <row r="31" spans="1:8" s="63" customFormat="1" ht="15" customHeight="1" x14ac:dyDescent="0.35">
      <c r="A31" s="84" t="s">
        <v>20</v>
      </c>
      <c r="B31" s="90">
        <v>0.12</v>
      </c>
      <c r="C31" s="90">
        <f>B28*1.3</f>
        <v>0.13</v>
      </c>
    </row>
    <row r="32" spans="1:8" s="63" customFormat="1" ht="15" customHeight="1" x14ac:dyDescent="0.35">
      <c r="A32" s="84" t="s">
        <v>21</v>
      </c>
      <c r="B32" s="89">
        <v>0</v>
      </c>
      <c r="C32" s="89">
        <v>0</v>
      </c>
    </row>
    <row r="33" spans="1:7" s="63" customFormat="1" ht="15" customHeight="1" x14ac:dyDescent="0.35">
      <c r="A33" s="78" t="s">
        <v>22</v>
      </c>
      <c r="B33" s="91">
        <f>B28-((B28-B31)*B32)</f>
        <v>0.1</v>
      </c>
      <c r="C33" s="91">
        <f>B28-((B28-C31)*C32)</f>
        <v>0.1</v>
      </c>
    </row>
    <row r="34" spans="1:7" s="63" customFormat="1" ht="15" customHeight="1" x14ac:dyDescent="0.35">
      <c r="A34" s="84" t="s">
        <v>23</v>
      </c>
      <c r="B34" s="89">
        <v>0.5</v>
      </c>
      <c r="C34" s="89">
        <v>0.5</v>
      </c>
    </row>
    <row r="35" spans="1:7" s="63" customFormat="1" ht="15" customHeight="1" x14ac:dyDescent="0.35">
      <c r="A35" s="78" t="s">
        <v>24</v>
      </c>
      <c r="B35" s="91">
        <f>B28+((B31-B28)*B34)</f>
        <v>0.11</v>
      </c>
      <c r="C35" s="91">
        <f>B28+((C31-B28)*C34)</f>
        <v>0.115</v>
      </c>
    </row>
    <row r="36" spans="1:7" s="63" customFormat="1" ht="15" customHeight="1" x14ac:dyDescent="0.35">
      <c r="A36" s="84" t="s">
        <v>25</v>
      </c>
      <c r="B36" s="106">
        <v>1</v>
      </c>
      <c r="C36" s="89">
        <v>1</v>
      </c>
    </row>
    <row r="37" spans="1:7" s="63" customFormat="1" ht="15" customHeight="1" x14ac:dyDescent="0.35">
      <c r="A37" s="78" t="s">
        <v>26</v>
      </c>
      <c r="B37" s="91">
        <f>B31</f>
        <v>0.12</v>
      </c>
      <c r="C37" s="101">
        <f>C31</f>
        <v>0.13</v>
      </c>
    </row>
    <row r="38" spans="1:7" s="63" customFormat="1" ht="15" customHeight="1" x14ac:dyDescent="0.35">
      <c r="A38" s="84"/>
      <c r="B38" s="98"/>
    </row>
    <row r="39" spans="1:7" s="63" customFormat="1" ht="15" customHeight="1" x14ac:dyDescent="0.35">
      <c r="A39" s="99" t="s">
        <v>27</v>
      </c>
      <c r="B39" s="96"/>
      <c r="E39" s="75"/>
      <c r="F39" s="70"/>
      <c r="G39" s="70"/>
    </row>
    <row r="40" spans="1:7" s="63" customFormat="1" ht="15" customHeight="1" x14ac:dyDescent="0.35">
      <c r="A40" s="84" t="s">
        <v>28</v>
      </c>
      <c r="B40" s="92">
        <v>0.3</v>
      </c>
      <c r="E40" s="83"/>
      <c r="F40" s="69"/>
      <c r="G40" s="70"/>
    </row>
    <row r="41" spans="1:7" s="63" customFormat="1" ht="15" customHeight="1" x14ac:dyDescent="0.35">
      <c r="A41" s="84"/>
      <c r="D41" s="85"/>
      <c r="E41" s="75"/>
      <c r="F41" s="70"/>
      <c r="G41" s="77"/>
    </row>
    <row r="42" spans="1:7" s="63" customFormat="1" ht="15" customHeight="1" x14ac:dyDescent="0.35">
      <c r="A42" s="84" t="s">
        <v>29</v>
      </c>
      <c r="B42" s="95">
        <v>3</v>
      </c>
      <c r="D42" s="85"/>
      <c r="E42" s="75"/>
      <c r="F42" s="70"/>
      <c r="G42" s="77"/>
    </row>
    <row r="43" spans="1:7" s="63" customFormat="1" ht="15" customHeight="1" x14ac:dyDescent="0.35">
      <c r="A43" s="84" t="s">
        <v>30</v>
      </c>
      <c r="B43" s="94">
        <f>1-B13</f>
        <v>0.8</v>
      </c>
      <c r="E43" s="84"/>
      <c r="G43" s="79"/>
    </row>
    <row r="44" spans="1:7" s="63" customFormat="1" ht="15" customHeight="1" x14ac:dyDescent="0.35">
      <c r="A44" s="84" t="s">
        <v>31</v>
      </c>
      <c r="B44" s="94">
        <v>0.05</v>
      </c>
      <c r="E44" s="75"/>
      <c r="F44" s="77"/>
      <c r="G44" s="81"/>
    </row>
    <row r="45" spans="1:7" s="63" customFormat="1" ht="15" customHeight="1" x14ac:dyDescent="0.35">
      <c r="A45" s="84"/>
      <c r="B45" s="72"/>
      <c r="E45" s="78"/>
      <c r="F45" s="79"/>
      <c r="G45" s="79"/>
    </row>
    <row r="46" spans="1:7" s="63" customFormat="1" ht="15" customHeight="1" x14ac:dyDescent="0.35">
      <c r="A46" s="84"/>
      <c r="B46" s="186" t="s">
        <v>10</v>
      </c>
      <c r="C46" s="186" t="s">
        <v>11</v>
      </c>
    </row>
    <row r="47" spans="1:7" s="63" customFormat="1" ht="15" customHeight="1" x14ac:dyDescent="0.35">
      <c r="A47" s="84" t="s">
        <v>32</v>
      </c>
      <c r="B47" s="90">
        <v>0.37</v>
      </c>
      <c r="C47" s="90">
        <v>0.4</v>
      </c>
    </row>
    <row r="48" spans="1:7" s="63" customFormat="1" ht="15" customHeight="1" x14ac:dyDescent="0.35">
      <c r="A48" s="84" t="s">
        <v>33</v>
      </c>
      <c r="B48" s="89">
        <v>0</v>
      </c>
      <c r="C48" s="89">
        <v>0</v>
      </c>
      <c r="D48" s="70"/>
      <c r="E48" s="70"/>
    </row>
    <row r="49" spans="1:5" s="63" customFormat="1" ht="15" customHeight="1" x14ac:dyDescent="0.35">
      <c r="A49" s="78" t="s">
        <v>34</v>
      </c>
      <c r="B49" s="91">
        <f>B40+((B47-B40)*B48)</f>
        <v>0.3</v>
      </c>
      <c r="C49" s="91">
        <f>B40+((C47-B40)*C48)</f>
        <v>0.3</v>
      </c>
      <c r="D49" s="70"/>
      <c r="E49" s="70"/>
    </row>
    <row r="50" spans="1:5" s="63" customFormat="1" ht="15" customHeight="1" x14ac:dyDescent="0.35">
      <c r="A50" s="63" t="s">
        <v>35</v>
      </c>
      <c r="B50" s="89">
        <v>0.5</v>
      </c>
      <c r="C50" s="89">
        <v>0.5</v>
      </c>
    </row>
    <row r="51" spans="1:5" s="63" customFormat="1" ht="15" customHeight="1" x14ac:dyDescent="0.35">
      <c r="A51" s="78" t="s">
        <v>36</v>
      </c>
      <c r="B51" s="91">
        <f>B40+((B47-B40)*B50)</f>
        <v>0.33499999999999996</v>
      </c>
      <c r="C51" s="91">
        <f>B40+((C47-B40)*C50)</f>
        <v>0.35</v>
      </c>
    </row>
    <row r="52" spans="1:5" s="63" customFormat="1" ht="15" customHeight="1" x14ac:dyDescent="0.35">
      <c r="A52" s="63" t="s">
        <v>37</v>
      </c>
      <c r="B52" s="89">
        <v>1</v>
      </c>
      <c r="C52" s="89">
        <v>1</v>
      </c>
    </row>
    <row r="53" spans="1:5" s="63" customFormat="1" ht="15" customHeight="1" x14ac:dyDescent="0.35">
      <c r="A53" s="78" t="s">
        <v>38</v>
      </c>
      <c r="B53" s="91">
        <f>B47</f>
        <v>0.37</v>
      </c>
      <c r="C53" s="91">
        <f>C47</f>
        <v>0.4</v>
      </c>
    </row>
    <row r="54" spans="1:5" s="63" customFormat="1" ht="15" customHeight="1" x14ac:dyDescent="0.35">
      <c r="A54" s="78"/>
      <c r="B54" s="98"/>
    </row>
    <row r="55" spans="1:5" s="63" customFormat="1" ht="15" customHeight="1" x14ac:dyDescent="0.35">
      <c r="A55" s="188" t="s">
        <v>39</v>
      </c>
      <c r="B55" s="100"/>
    </row>
    <row r="56" spans="1:5" s="63" customFormat="1" ht="15" customHeight="1" x14ac:dyDescent="0.35">
      <c r="A56" s="102"/>
      <c r="B56" s="86"/>
    </row>
    <row r="57" spans="1:5" s="63" customFormat="1" ht="15" customHeight="1" x14ac:dyDescent="0.35">
      <c r="A57" s="103" t="s">
        <v>40</v>
      </c>
      <c r="B57" s="223">
        <v>5</v>
      </c>
    </row>
    <row r="58" spans="1:5" s="63" customFormat="1" ht="15" customHeight="1" x14ac:dyDescent="0.35">
      <c r="A58" s="103" t="s">
        <v>41</v>
      </c>
      <c r="B58" s="93">
        <v>1000000</v>
      </c>
    </row>
    <row r="59" spans="1:5" s="63" customFormat="1" ht="15" customHeight="1" x14ac:dyDescent="0.35">
      <c r="B59" s="76"/>
    </row>
    <row r="60" spans="1:5" s="63" customFormat="1" ht="15" customHeight="1" x14ac:dyDescent="0.35">
      <c r="A60" s="84"/>
      <c r="B60" s="186" t="s">
        <v>10</v>
      </c>
      <c r="C60" s="186" t="s">
        <v>11</v>
      </c>
    </row>
    <row r="61" spans="1:5" s="63" customFormat="1" ht="15" customHeight="1" x14ac:dyDescent="0.35">
      <c r="A61" s="84" t="s">
        <v>182</v>
      </c>
      <c r="B61" s="90">
        <v>0.15</v>
      </c>
      <c r="C61" s="90">
        <v>0.2</v>
      </c>
    </row>
    <row r="62" spans="1:5" s="63" customFormat="1" ht="15" customHeight="1" x14ac:dyDescent="0.35">
      <c r="A62" s="84" t="s">
        <v>33</v>
      </c>
      <c r="B62" s="89">
        <v>0</v>
      </c>
      <c r="C62" s="89">
        <v>0</v>
      </c>
    </row>
    <row r="63" spans="1:5" s="63" customFormat="1" ht="15" customHeight="1" x14ac:dyDescent="0.35">
      <c r="A63" s="63" t="s">
        <v>35</v>
      </c>
      <c r="B63" s="89">
        <v>0.5</v>
      </c>
      <c r="C63" s="89">
        <v>0.5</v>
      </c>
    </row>
    <row r="64" spans="1:5" s="63" customFormat="1" ht="15" customHeight="1" x14ac:dyDescent="0.35">
      <c r="A64" s="63" t="s">
        <v>37</v>
      </c>
      <c r="B64" s="89">
        <v>1</v>
      </c>
      <c r="C64" s="89">
        <v>1</v>
      </c>
    </row>
    <row r="65" spans="1:54" s="63" customFormat="1" ht="15" customHeight="1" x14ac:dyDescent="0.35">
      <c r="B65" s="76"/>
    </row>
    <row r="66" spans="1:54" ht="40" customHeight="1" x14ac:dyDescent="0.35">
      <c r="A66" s="224" t="s">
        <v>184</v>
      </c>
      <c r="B66" s="224"/>
      <c r="C66" s="224"/>
      <c r="D66" s="224"/>
      <c r="E66" s="224"/>
      <c r="F66" s="62"/>
    </row>
    <row r="67" spans="1:54" s="179" customFormat="1" ht="17.25" customHeight="1" x14ac:dyDescent="0.35">
      <c r="A67" s="183"/>
      <c r="B67" s="183"/>
      <c r="C67" s="183"/>
      <c r="D67" s="177"/>
      <c r="E67" s="177"/>
      <c r="F67" s="177"/>
      <c r="G67" s="178"/>
      <c r="H67" s="178"/>
      <c r="I67" s="178"/>
      <c r="J67" s="178"/>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3"/>
      <c r="BA67" s="183"/>
      <c r="BB67" s="183"/>
    </row>
    <row r="73" spans="1:54" x14ac:dyDescent="0.35">
      <c r="A73" s="184"/>
    </row>
  </sheetData>
  <mergeCells count="4">
    <mergeCell ref="A66:E66"/>
    <mergeCell ref="A2:E2"/>
    <mergeCell ref="A6:E6"/>
    <mergeCell ref="A8:D8"/>
  </mergeCells>
  <pageMargins left="0.5" right="0.5" top="0.5" bottom="0.75" header="0.5" footer="0.5"/>
  <pageSetup scale="80" orientation="landscape" r:id="rId1"/>
  <headerFooter>
    <oddFooter>&amp;L&amp;"Arial,Regular"&amp;8© 2019, Forrester Research, Inc.&amp;R&amp;"Arial,Regular"&amp;8&amp;P</oddFooter>
  </headerFooter>
  <rowBreaks count="1" manualBreakCount="1">
    <brk id="38"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sheetPr>
  <dimension ref="A1:M73"/>
  <sheetViews>
    <sheetView zoomScaleNormal="100" zoomScalePageLayoutView="125" workbookViewId="0">
      <selection activeCell="A6" sqref="A6:I6"/>
    </sheetView>
  </sheetViews>
  <sheetFormatPr defaultColWidth="11.453125" defaultRowHeight="14" x14ac:dyDescent="0.35"/>
  <cols>
    <col min="1" max="1" width="50.7265625" style="183" customWidth="1"/>
    <col min="2" max="2" width="5.7265625" style="183" customWidth="1"/>
    <col min="3" max="5" width="15.7265625" style="183" customWidth="1"/>
    <col min="6" max="6" width="5.7265625" style="183" customWidth="1"/>
    <col min="7" max="9" width="15.7265625" style="183" customWidth="1"/>
    <col min="10" max="14" width="11.453125" style="183" customWidth="1"/>
    <col min="15" max="16384" width="11.453125" style="183"/>
  </cols>
  <sheetData>
    <row r="1" spans="1:10" s="180" customFormat="1" ht="15" customHeight="1" x14ac:dyDescent="0.35">
      <c r="A1" s="60" t="s">
        <v>0</v>
      </c>
    </row>
    <row r="2" spans="1:10" ht="21" customHeight="1" x14ac:dyDescent="0.35">
      <c r="A2" s="225" t="s">
        <v>1</v>
      </c>
      <c r="B2" s="225"/>
      <c r="C2" s="225"/>
      <c r="D2" s="225"/>
      <c r="E2" s="225"/>
      <c r="F2" s="225"/>
      <c r="G2" s="225"/>
      <c r="H2" s="225"/>
      <c r="I2" s="225"/>
    </row>
    <row r="3" spans="1:10" s="180" customFormat="1" ht="15" customHeight="1" x14ac:dyDescent="0.35">
      <c r="A3" s="61" t="s">
        <v>2</v>
      </c>
      <c r="B3" s="181"/>
      <c r="C3" s="181"/>
      <c r="D3" s="181"/>
      <c r="E3" s="181"/>
      <c r="F3" s="181"/>
      <c r="G3" s="181"/>
      <c r="H3" s="181"/>
      <c r="I3" s="181"/>
    </row>
    <row r="4" spans="1:10" s="180" customFormat="1" ht="15" customHeight="1" x14ac:dyDescent="0.35">
      <c r="B4" s="181"/>
      <c r="C4" s="181"/>
      <c r="D4" s="181"/>
      <c r="E4" s="181"/>
      <c r="F4" s="181"/>
      <c r="G4" s="181"/>
      <c r="H4" s="181"/>
      <c r="I4" s="181"/>
    </row>
    <row r="5" spans="1:10" s="180" customFormat="1" ht="15" customHeight="1" x14ac:dyDescent="0.35">
      <c r="A5" s="181"/>
    </row>
    <row r="6" spans="1:10" s="180" customFormat="1" ht="15" customHeight="1" x14ac:dyDescent="0.35">
      <c r="A6" s="226" t="s">
        <v>191</v>
      </c>
      <c r="B6" s="226"/>
      <c r="C6" s="226"/>
      <c r="D6" s="226"/>
      <c r="E6" s="226"/>
      <c r="F6" s="226"/>
      <c r="G6" s="226"/>
      <c r="H6" s="226"/>
      <c r="I6" s="226"/>
    </row>
    <row r="7" spans="1:10" s="63" customFormat="1" ht="15" customHeight="1" x14ac:dyDescent="0.35">
      <c r="A7" s="107"/>
    </row>
    <row r="8" spans="1:10" s="63" customFormat="1" ht="15" customHeight="1" x14ac:dyDescent="0.35">
      <c r="A8" s="227" t="s">
        <v>42</v>
      </c>
      <c r="B8" s="227"/>
      <c r="C8" s="227"/>
      <c r="D8" s="227"/>
      <c r="E8" s="227"/>
      <c r="F8" s="227"/>
      <c r="G8" s="227"/>
      <c r="H8" s="227"/>
      <c r="I8" s="227"/>
    </row>
    <row r="9" spans="1:10" s="63" customFormat="1" ht="15" customHeight="1" x14ac:dyDescent="0.35">
      <c r="A9" s="108"/>
      <c r="B9" s="108"/>
    </row>
    <row r="10" spans="1:10" s="63" customFormat="1" ht="15" customHeight="1" x14ac:dyDescent="0.35">
      <c r="B10" s="109"/>
      <c r="C10" s="228" t="s">
        <v>43</v>
      </c>
      <c r="D10" s="228"/>
      <c r="E10" s="228"/>
      <c r="F10" s="110"/>
      <c r="G10" s="228" t="s">
        <v>44</v>
      </c>
      <c r="H10" s="228"/>
      <c r="I10" s="228"/>
    </row>
    <row r="11" spans="1:10" s="63" customFormat="1" ht="15" customHeight="1" x14ac:dyDescent="0.35">
      <c r="A11" s="229" t="s">
        <v>45</v>
      </c>
      <c r="B11" s="229"/>
      <c r="C11" s="229"/>
      <c r="D11" s="229"/>
      <c r="E11" s="229"/>
      <c r="F11" s="229"/>
      <c r="G11" s="229"/>
      <c r="H11" s="229"/>
      <c r="I11" s="229"/>
    </row>
    <row r="12" spans="1:10" s="63" customFormat="1" ht="15" customHeight="1" x14ac:dyDescent="0.35">
      <c r="A12" s="105"/>
      <c r="B12" s="111"/>
      <c r="C12" s="144" t="s">
        <v>46</v>
      </c>
      <c r="D12" s="144" t="s">
        <v>47</v>
      </c>
      <c r="E12" s="144" t="s">
        <v>48</v>
      </c>
      <c r="F12" s="111"/>
      <c r="G12" s="144" t="s">
        <v>46</v>
      </c>
      <c r="H12" s="144" t="s">
        <v>47</v>
      </c>
      <c r="I12" s="144" t="s">
        <v>48</v>
      </c>
    </row>
    <row r="13" spans="1:10" s="63" customFormat="1" ht="15" customHeight="1" x14ac:dyDescent="0.35">
      <c r="A13" s="82" t="s">
        <v>8</v>
      </c>
      <c r="B13" s="112"/>
      <c r="C13" s="108"/>
      <c r="D13" s="108"/>
      <c r="E13" s="108"/>
      <c r="F13" s="112"/>
      <c r="G13" s="145"/>
      <c r="H13" s="145"/>
      <c r="I13" s="145"/>
    </row>
    <row r="14" spans="1:10" s="63" customFormat="1" ht="15" customHeight="1" x14ac:dyDescent="0.35">
      <c r="A14" s="75" t="s">
        <v>49</v>
      </c>
      <c r="B14" s="113"/>
      <c r="C14" s="141">
        <f>Assumptions!B10</f>
        <v>2000000</v>
      </c>
      <c r="D14" s="141">
        <f>C14-C17+(C14*0.25)</f>
        <v>1900000</v>
      </c>
      <c r="E14" s="141">
        <f>D14-D17+(D14*0.25)</f>
        <v>1805000</v>
      </c>
      <c r="F14" s="112"/>
      <c r="G14" s="141">
        <f>Assumptions!B10</f>
        <v>2000000</v>
      </c>
      <c r="H14" s="141">
        <f>G14-G20+(G14*0.25)</f>
        <v>1900000</v>
      </c>
      <c r="I14" s="141">
        <f>H14-H20+(H14*0.25)</f>
        <v>1947499.9999999998</v>
      </c>
      <c r="J14" s="114"/>
    </row>
    <row r="15" spans="1:10" s="63" customFormat="1" ht="15" customHeight="1" x14ac:dyDescent="0.35">
      <c r="A15" s="75"/>
      <c r="B15" s="113"/>
      <c r="C15" s="141"/>
      <c r="D15" s="141"/>
      <c r="E15" s="141"/>
      <c r="F15" s="112"/>
      <c r="G15" s="141"/>
      <c r="H15" s="146"/>
      <c r="I15" s="146"/>
      <c r="J15" s="114"/>
    </row>
    <row r="16" spans="1:10" s="63" customFormat="1" ht="15" customHeight="1" x14ac:dyDescent="0.35">
      <c r="A16" s="75" t="s">
        <v>50</v>
      </c>
      <c r="B16" s="113"/>
      <c r="C16" s="142">
        <f>Assumptions!$B$16</f>
        <v>0.7</v>
      </c>
      <c r="D16" s="142">
        <f>Assumptions!$B$16</f>
        <v>0.7</v>
      </c>
      <c r="E16" s="142">
        <f>Assumptions!$B$16</f>
        <v>0.7</v>
      </c>
      <c r="F16" s="112"/>
      <c r="G16" s="142">
        <f>Assumptions!$B$16</f>
        <v>0.7</v>
      </c>
      <c r="H16" s="142">
        <f>Assumptions!$B$16</f>
        <v>0.7</v>
      </c>
      <c r="I16" s="142">
        <f>Assumptions!$B$16</f>
        <v>0.7</v>
      </c>
      <c r="J16" s="114"/>
    </row>
    <row r="17" spans="1:12" s="63" customFormat="1" ht="15" customHeight="1" x14ac:dyDescent="0.35">
      <c r="A17" s="75" t="s">
        <v>51</v>
      </c>
      <c r="B17" s="113"/>
      <c r="C17" s="141">
        <f>C14*(1-Assumptions!B16)</f>
        <v>600000.00000000012</v>
      </c>
      <c r="D17" s="141">
        <f>D14*(1-Assumptions!B16)</f>
        <v>570000.00000000012</v>
      </c>
      <c r="E17" s="141">
        <f>E14*(1-Assumptions!B16)</f>
        <v>541500.00000000012</v>
      </c>
      <c r="F17" s="112"/>
      <c r="G17" s="141">
        <f>G14*(1-Assumptions!B16)</f>
        <v>600000.00000000012</v>
      </c>
      <c r="H17" s="141">
        <f>H14*(1-Assumptions!B16)</f>
        <v>570000.00000000012</v>
      </c>
      <c r="I17" s="141">
        <f>I14*(1-Assumptions!B16)</f>
        <v>584250</v>
      </c>
      <c r="J17" s="114"/>
    </row>
    <row r="18" spans="1:12" s="63" customFormat="1" ht="15" customHeight="1" x14ac:dyDescent="0.35">
      <c r="A18" s="75"/>
      <c r="B18" s="113"/>
      <c r="C18" s="141"/>
      <c r="D18" s="141"/>
      <c r="E18" s="141"/>
      <c r="F18" s="112"/>
      <c r="G18" s="141"/>
      <c r="H18" s="141"/>
      <c r="I18" s="141"/>
      <c r="J18" s="114"/>
    </row>
    <row r="19" spans="1:12" s="63" customFormat="1" ht="15" customHeight="1" x14ac:dyDescent="0.35">
      <c r="A19" s="78" t="s">
        <v>52</v>
      </c>
      <c r="B19" s="113"/>
      <c r="C19" s="142">
        <f>Assumptions!$B$21</f>
        <v>0.7</v>
      </c>
      <c r="D19" s="142">
        <f>Assumptions!B23</f>
        <v>0.75</v>
      </c>
      <c r="E19" s="142">
        <f>Assumptions!B25</f>
        <v>0.8</v>
      </c>
      <c r="F19" s="115"/>
      <c r="G19" s="142">
        <f>Assumptions!C21</f>
        <v>0.7</v>
      </c>
      <c r="H19" s="142">
        <f>Assumptions!C23</f>
        <v>0.77499999999999991</v>
      </c>
      <c r="I19" s="142">
        <f>Assumptions!C25</f>
        <v>0.85</v>
      </c>
      <c r="J19" s="114"/>
    </row>
    <row r="20" spans="1:12" s="63" customFormat="1" ht="15" customHeight="1" x14ac:dyDescent="0.35">
      <c r="A20" s="78" t="s">
        <v>53</v>
      </c>
      <c r="B20" s="113"/>
      <c r="C20" s="141">
        <f>C14*(1-Assumptions!B21)</f>
        <v>600000.00000000012</v>
      </c>
      <c r="D20" s="141">
        <f>D14*(1-Assumptions!B23)</f>
        <v>475000</v>
      </c>
      <c r="E20" s="141">
        <f>E14*(1-Assumptions!B25)</f>
        <v>360999.99999999994</v>
      </c>
      <c r="F20" s="112"/>
      <c r="G20" s="141">
        <f>G14*(1-Assumptions!B21)</f>
        <v>600000.00000000012</v>
      </c>
      <c r="H20" s="141">
        <f>H14*(1-Assumptions!C23)</f>
        <v>427500.00000000017</v>
      </c>
      <c r="I20" s="141">
        <f>I14*(1-Assumptions!C25)</f>
        <v>292125</v>
      </c>
      <c r="J20" s="114"/>
    </row>
    <row r="21" spans="1:12" s="63" customFormat="1" ht="15" customHeight="1" x14ac:dyDescent="0.35">
      <c r="A21" s="78"/>
      <c r="B21" s="113"/>
      <c r="C21" s="141"/>
      <c r="D21" s="141"/>
      <c r="E21" s="141"/>
      <c r="F21" s="112"/>
      <c r="G21" s="147"/>
      <c r="H21" s="147"/>
      <c r="I21" s="147"/>
      <c r="J21" s="114"/>
    </row>
    <row r="22" spans="1:12" s="63" customFormat="1" ht="15" customHeight="1" x14ac:dyDescent="0.35">
      <c r="A22" s="75" t="s">
        <v>54</v>
      </c>
      <c r="B22" s="113"/>
      <c r="C22" s="143">
        <f>C17-C20</f>
        <v>0</v>
      </c>
      <c r="D22" s="143">
        <f>D17-D20</f>
        <v>95000.000000000116</v>
      </c>
      <c r="E22" s="143">
        <f>E17-E20</f>
        <v>180500.00000000017</v>
      </c>
      <c r="F22" s="112"/>
      <c r="G22" s="146">
        <f>G17-G20</f>
        <v>0</v>
      </c>
      <c r="H22" s="146">
        <f>H17-H20</f>
        <v>142499.99999999994</v>
      </c>
      <c r="I22" s="146">
        <f>I17-I20</f>
        <v>292125</v>
      </c>
      <c r="J22" s="114"/>
      <c r="K22" s="80"/>
    </row>
    <row r="23" spans="1:12" s="63" customFormat="1" ht="15" customHeight="1" x14ac:dyDescent="0.35">
      <c r="A23" s="116" t="s">
        <v>55</v>
      </c>
      <c r="B23" s="117"/>
      <c r="C23" s="196">
        <f>C22*Assumptions!$B$11</f>
        <v>0</v>
      </c>
      <c r="D23" s="196">
        <f>D22*Assumptions!$B$11</f>
        <v>38000000.000000045</v>
      </c>
      <c r="E23" s="196">
        <f>E22*Assumptions!$B$11</f>
        <v>72200000.000000075</v>
      </c>
      <c r="F23" s="197"/>
      <c r="G23" s="196">
        <f>G22*Assumptions!$B$11</f>
        <v>0</v>
      </c>
      <c r="H23" s="196">
        <f>H22*Assumptions!$B$11</f>
        <v>56999999.999999978</v>
      </c>
      <c r="I23" s="196">
        <f>I22*Assumptions!$B$11</f>
        <v>116850000</v>
      </c>
      <c r="K23" s="71"/>
    </row>
    <row r="24" spans="1:12" s="63" customFormat="1" ht="15" customHeight="1" x14ac:dyDescent="0.35">
      <c r="A24" s="187" t="s">
        <v>19</v>
      </c>
      <c r="B24" s="118"/>
      <c r="C24" s="70"/>
      <c r="D24" s="70"/>
      <c r="E24" s="70"/>
      <c r="F24" s="119"/>
      <c r="G24" s="69"/>
      <c r="H24" s="69"/>
      <c r="I24" s="69"/>
      <c r="L24" s="71"/>
    </row>
    <row r="25" spans="1:12" s="63" customFormat="1" ht="15" customHeight="1" x14ac:dyDescent="0.35">
      <c r="A25" s="75" t="s">
        <v>56</v>
      </c>
      <c r="B25" s="118"/>
      <c r="C25" s="141">
        <f>C14</f>
        <v>2000000</v>
      </c>
      <c r="D25" s="141">
        <f>D14</f>
        <v>1900000</v>
      </c>
      <c r="E25" s="141">
        <f>E14</f>
        <v>1805000</v>
      </c>
      <c r="F25" s="119"/>
      <c r="G25" s="141">
        <f>G14</f>
        <v>2000000</v>
      </c>
      <c r="H25" s="141">
        <f>H14</f>
        <v>1900000</v>
      </c>
      <c r="I25" s="141">
        <f>I14</f>
        <v>1947499.9999999998</v>
      </c>
      <c r="L25" s="71"/>
    </row>
    <row r="26" spans="1:12" s="63" customFormat="1" ht="15" customHeight="1" x14ac:dyDescent="0.35">
      <c r="A26" s="74"/>
      <c r="B26" s="118"/>
      <c r="C26" s="148"/>
      <c r="D26" s="148"/>
      <c r="E26" s="148"/>
      <c r="F26" s="119"/>
      <c r="G26" s="148"/>
      <c r="H26" s="148"/>
      <c r="I26" s="148"/>
      <c r="L26" s="71"/>
    </row>
    <row r="27" spans="1:12" s="63" customFormat="1" ht="27" customHeight="1" x14ac:dyDescent="0.35">
      <c r="A27" s="155" t="s">
        <v>171</v>
      </c>
      <c r="B27" s="118"/>
      <c r="C27" s="142">
        <f>Assumptions!$B$28</f>
        <v>0.1</v>
      </c>
      <c r="D27" s="142">
        <f>Assumptions!$B$28</f>
        <v>0.1</v>
      </c>
      <c r="E27" s="142">
        <f>Assumptions!$B$28</f>
        <v>0.1</v>
      </c>
      <c r="F27" s="119"/>
      <c r="G27" s="142">
        <f>Assumptions!$B$28</f>
        <v>0.1</v>
      </c>
      <c r="H27" s="142">
        <f>Assumptions!$B$28</f>
        <v>0.1</v>
      </c>
      <c r="I27" s="142">
        <f>Assumptions!$B$28</f>
        <v>0.1</v>
      </c>
      <c r="L27" s="71"/>
    </row>
    <row r="28" spans="1:12" s="63" customFormat="1" ht="15" customHeight="1" x14ac:dyDescent="0.35">
      <c r="A28" s="75" t="s">
        <v>172</v>
      </c>
      <c r="B28" s="113"/>
      <c r="C28" s="141">
        <f>C25*Assumptions!$B$28</f>
        <v>200000</v>
      </c>
      <c r="D28" s="141">
        <f>D25*Assumptions!$B$28</f>
        <v>190000</v>
      </c>
      <c r="E28" s="141">
        <f>E25*Assumptions!$B$28</f>
        <v>180500</v>
      </c>
      <c r="F28" s="119"/>
      <c r="G28" s="141">
        <f>G25*Assumptions!$B$28</f>
        <v>200000</v>
      </c>
      <c r="H28" s="141">
        <f>H25*Assumptions!$B$28</f>
        <v>190000</v>
      </c>
      <c r="I28" s="141">
        <f>I25*Assumptions!$B$28</f>
        <v>194750</v>
      </c>
      <c r="L28" s="73"/>
    </row>
    <row r="29" spans="1:12" s="63" customFormat="1" ht="15" customHeight="1" x14ac:dyDescent="0.35">
      <c r="A29" s="75"/>
      <c r="B29" s="113"/>
      <c r="C29" s="141"/>
      <c r="D29" s="141"/>
      <c r="E29" s="141"/>
      <c r="F29" s="119"/>
      <c r="G29" s="141"/>
      <c r="H29" s="141"/>
      <c r="I29" s="141"/>
      <c r="L29" s="73"/>
    </row>
    <row r="30" spans="1:12" s="63" customFormat="1" ht="27" customHeight="1" x14ac:dyDescent="0.35">
      <c r="A30" s="185" t="s">
        <v>173</v>
      </c>
      <c r="B30" s="113"/>
      <c r="C30" s="142">
        <f>Assumptions!$B$28</f>
        <v>0.1</v>
      </c>
      <c r="D30" s="142">
        <f>Assumptions!B35</f>
        <v>0.11</v>
      </c>
      <c r="E30" s="142">
        <f>Assumptions!B31</f>
        <v>0.12</v>
      </c>
      <c r="F30" s="119"/>
      <c r="G30" s="142">
        <f>Assumptions!$B$28</f>
        <v>0.1</v>
      </c>
      <c r="H30" s="142">
        <f>Assumptions!C35</f>
        <v>0.115</v>
      </c>
      <c r="I30" s="142">
        <f>Assumptions!C31</f>
        <v>0.13</v>
      </c>
      <c r="L30" s="73"/>
    </row>
    <row r="31" spans="1:12" s="63" customFormat="1" ht="27" customHeight="1" x14ac:dyDescent="0.35">
      <c r="A31" s="185" t="s">
        <v>174</v>
      </c>
      <c r="B31" s="120"/>
      <c r="C31" s="141">
        <f>C25*Assumptions!B28</f>
        <v>200000</v>
      </c>
      <c r="D31" s="141">
        <f>D25*Assumptions!B35</f>
        <v>209000</v>
      </c>
      <c r="E31" s="141">
        <f>E25*Assumptions!B31</f>
        <v>216600</v>
      </c>
      <c r="F31" s="112"/>
      <c r="G31" s="141">
        <f>G25*Assumptions!B28</f>
        <v>200000</v>
      </c>
      <c r="H31" s="141">
        <f>H25*Assumptions!C35</f>
        <v>218500</v>
      </c>
      <c r="I31" s="141">
        <f>I25*Assumptions!C31</f>
        <v>253174.99999999997</v>
      </c>
    </row>
    <row r="32" spans="1:12" s="63" customFormat="1" ht="15" customHeight="1" x14ac:dyDescent="0.35">
      <c r="A32" s="75"/>
      <c r="B32" s="120"/>
      <c r="C32" s="141"/>
      <c r="D32" s="141"/>
      <c r="E32" s="141"/>
      <c r="F32" s="112"/>
      <c r="G32" s="141"/>
      <c r="H32" s="141"/>
      <c r="I32" s="141"/>
    </row>
    <row r="33" spans="1:9" s="63" customFormat="1" ht="27" customHeight="1" x14ac:dyDescent="0.35">
      <c r="A33" s="155" t="s">
        <v>175</v>
      </c>
      <c r="B33" s="120"/>
      <c r="C33" s="141">
        <f>C31-C28</f>
        <v>0</v>
      </c>
      <c r="D33" s="141">
        <f t="shared" ref="D33:E33" si="0">D31-D28</f>
        <v>19000</v>
      </c>
      <c r="E33" s="141">
        <f t="shared" si="0"/>
        <v>36100</v>
      </c>
      <c r="F33" s="112"/>
      <c r="G33" s="141">
        <f t="shared" ref="G33:I33" si="1">G31-G28</f>
        <v>0</v>
      </c>
      <c r="H33" s="141">
        <f t="shared" si="1"/>
        <v>28500</v>
      </c>
      <c r="I33" s="141">
        <f t="shared" si="1"/>
        <v>58424.999999999971</v>
      </c>
    </row>
    <row r="34" spans="1:9" s="63" customFormat="1" ht="15" customHeight="1" x14ac:dyDescent="0.35">
      <c r="A34" s="116" t="s">
        <v>57</v>
      </c>
      <c r="B34" s="117"/>
      <c r="C34" s="196">
        <f>C33*Assumptions!$B$12</f>
        <v>0</v>
      </c>
      <c r="D34" s="196">
        <f>D33*Assumptions!$B$12</f>
        <v>1900000</v>
      </c>
      <c r="E34" s="196">
        <f>E33*Assumptions!$B$12</f>
        <v>3610000</v>
      </c>
      <c r="F34" s="197"/>
      <c r="G34" s="196">
        <f>G33*Assumptions!$B$12</f>
        <v>0</v>
      </c>
      <c r="H34" s="196">
        <f>H33*Assumptions!$B$12</f>
        <v>2850000</v>
      </c>
      <c r="I34" s="196">
        <f>I33*Assumptions!$B$12</f>
        <v>5842499.9999999972</v>
      </c>
    </row>
    <row r="35" spans="1:9" s="63" customFormat="1" ht="15" customHeight="1" x14ac:dyDescent="0.35">
      <c r="A35" s="74" t="s">
        <v>27</v>
      </c>
      <c r="B35" s="118"/>
      <c r="F35" s="112"/>
    </row>
    <row r="36" spans="1:9" s="63" customFormat="1" ht="15" customHeight="1" x14ac:dyDescent="0.35">
      <c r="A36" s="75" t="s">
        <v>58</v>
      </c>
      <c r="B36" s="113"/>
      <c r="C36" s="141">
        <f>C14</f>
        <v>2000000</v>
      </c>
      <c r="D36" s="141">
        <f>D14</f>
        <v>1900000</v>
      </c>
      <c r="E36" s="141">
        <f>E14</f>
        <v>1805000</v>
      </c>
      <c r="F36" s="112"/>
      <c r="G36" s="141">
        <f>G14</f>
        <v>2000000</v>
      </c>
      <c r="H36" s="141">
        <f>H14</f>
        <v>1900000</v>
      </c>
      <c r="I36" s="141">
        <f>I14</f>
        <v>1947499.9999999998</v>
      </c>
    </row>
    <row r="37" spans="1:9" s="63" customFormat="1" ht="15" customHeight="1" x14ac:dyDescent="0.35">
      <c r="A37" s="75"/>
      <c r="B37" s="113"/>
      <c r="C37" s="141"/>
      <c r="D37" s="141"/>
      <c r="E37" s="141"/>
      <c r="F37" s="112"/>
      <c r="G37" s="141"/>
      <c r="H37" s="141"/>
      <c r="I37" s="141"/>
    </row>
    <row r="38" spans="1:9" s="63" customFormat="1" ht="15" customHeight="1" x14ac:dyDescent="0.35">
      <c r="A38" s="75" t="s">
        <v>59</v>
      </c>
      <c r="B38" s="113"/>
      <c r="C38" s="149">
        <f>Assumptions!$B$40</f>
        <v>0.3</v>
      </c>
      <c r="D38" s="149">
        <f>Assumptions!$B$40</f>
        <v>0.3</v>
      </c>
      <c r="E38" s="149">
        <f>Assumptions!$B$40</f>
        <v>0.3</v>
      </c>
      <c r="F38" s="112"/>
      <c r="G38" s="149">
        <f>Assumptions!$B$40</f>
        <v>0.3</v>
      </c>
      <c r="H38" s="149">
        <f>Assumptions!$B$40</f>
        <v>0.3</v>
      </c>
      <c r="I38" s="149">
        <f>Assumptions!$B$40</f>
        <v>0.3</v>
      </c>
    </row>
    <row r="39" spans="1:9" s="63" customFormat="1" ht="15" customHeight="1" x14ac:dyDescent="0.35">
      <c r="A39" s="75" t="s">
        <v>60</v>
      </c>
      <c r="B39" s="113"/>
      <c r="C39" s="141">
        <f>C36*C38</f>
        <v>600000</v>
      </c>
      <c r="D39" s="141">
        <f>D36*D38</f>
        <v>570000</v>
      </c>
      <c r="E39" s="141">
        <f>E36*E38</f>
        <v>541500</v>
      </c>
      <c r="F39" s="112"/>
      <c r="G39" s="141">
        <f>G36*G38</f>
        <v>600000</v>
      </c>
      <c r="H39" s="141">
        <f>H36*H38</f>
        <v>570000</v>
      </c>
      <c r="I39" s="141">
        <f>I36*I38</f>
        <v>584249.99999999988</v>
      </c>
    </row>
    <row r="40" spans="1:9" s="63" customFormat="1" ht="15" customHeight="1" x14ac:dyDescent="0.35">
      <c r="A40" s="75"/>
      <c r="B40" s="113"/>
      <c r="C40" s="149"/>
      <c r="D40" s="150"/>
      <c r="E40" s="150"/>
      <c r="F40" s="112"/>
      <c r="G40" s="147"/>
      <c r="H40" s="150"/>
      <c r="I40" s="150"/>
    </row>
    <row r="41" spans="1:9" s="63" customFormat="1" ht="27" customHeight="1" x14ac:dyDescent="0.35">
      <c r="A41" s="185" t="s">
        <v>61</v>
      </c>
      <c r="B41" s="113"/>
      <c r="C41" s="149">
        <f>C38</f>
        <v>0.3</v>
      </c>
      <c r="D41" s="149">
        <f>Assumptions!B51</f>
        <v>0.33499999999999996</v>
      </c>
      <c r="E41" s="149">
        <f>Assumptions!B47</f>
        <v>0.37</v>
      </c>
      <c r="F41" s="115"/>
      <c r="G41" s="149">
        <f>G38</f>
        <v>0.3</v>
      </c>
      <c r="H41" s="149">
        <f>Assumptions!C51</f>
        <v>0.35</v>
      </c>
      <c r="I41" s="149">
        <f>Assumptions!C47</f>
        <v>0.4</v>
      </c>
    </row>
    <row r="42" spans="1:9" s="63" customFormat="1" ht="15" customHeight="1" x14ac:dyDescent="0.35">
      <c r="A42" s="78" t="s">
        <v>62</v>
      </c>
      <c r="B42" s="113"/>
      <c r="C42" s="141">
        <f>C36*C41</f>
        <v>600000</v>
      </c>
      <c r="D42" s="141">
        <f>D36*D41</f>
        <v>636499.99999999988</v>
      </c>
      <c r="E42" s="141">
        <f>E36*E41</f>
        <v>667850</v>
      </c>
      <c r="F42" s="112"/>
      <c r="G42" s="141">
        <f>G36*G41</f>
        <v>600000</v>
      </c>
      <c r="H42" s="141">
        <f>H36*H41</f>
        <v>665000</v>
      </c>
      <c r="I42" s="141">
        <f>I36*I41</f>
        <v>779000</v>
      </c>
    </row>
    <row r="43" spans="1:9" s="63" customFormat="1" ht="15" customHeight="1" x14ac:dyDescent="0.35">
      <c r="A43" s="75"/>
      <c r="B43" s="113"/>
      <c r="C43" s="150"/>
      <c r="D43" s="150"/>
      <c r="E43" s="150"/>
      <c r="F43" s="112"/>
      <c r="G43" s="147"/>
      <c r="H43" s="150"/>
      <c r="I43" s="150"/>
    </row>
    <row r="44" spans="1:9" s="63" customFormat="1" ht="27" customHeight="1" x14ac:dyDescent="0.35">
      <c r="A44" s="194" t="s">
        <v>63</v>
      </c>
      <c r="B44" s="113"/>
      <c r="C44" s="146">
        <f>C42-C39</f>
        <v>0</v>
      </c>
      <c r="D44" s="146">
        <f>D42-D39</f>
        <v>66499.999999999884</v>
      </c>
      <c r="E44" s="146">
        <f>E42-E39</f>
        <v>126350</v>
      </c>
      <c r="F44" s="112"/>
      <c r="G44" s="146">
        <f>G42-G39</f>
        <v>0</v>
      </c>
      <c r="H44" s="146">
        <f>H42-H39</f>
        <v>95000</v>
      </c>
      <c r="I44" s="146">
        <f>I42-I39</f>
        <v>194750.00000000012</v>
      </c>
    </row>
    <row r="45" spans="1:9" s="63" customFormat="1" ht="15" customHeight="1" x14ac:dyDescent="0.35">
      <c r="A45" s="75"/>
      <c r="B45" s="113"/>
      <c r="C45" s="146"/>
      <c r="D45" s="146"/>
      <c r="E45" s="146"/>
      <c r="F45" s="112"/>
      <c r="G45" s="146">
        <f>(Assumptions!$B$10)*Assumptions!$B$40*Assumptions!$B$42*Assumptions!$B$43*Assumptions!$B$44</f>
        <v>72000</v>
      </c>
      <c r="H45" s="146">
        <f>(G45+Assumptions!$B$10)*Assumptions!$B$40*Assumptions!$B$42*Assumptions!$B$43*Assumptions!$B$44</f>
        <v>74592</v>
      </c>
      <c r="I45" s="146">
        <f>(H45+G45+Assumptions!$B$10)*Assumptions!$B$40*Assumptions!$B$42*Assumptions!$B$43*Assumptions!$B$44</f>
        <v>77277.312000000005</v>
      </c>
    </row>
    <row r="46" spans="1:9" s="63" customFormat="1" ht="27" customHeight="1" x14ac:dyDescent="0.35">
      <c r="A46" s="155" t="s">
        <v>29</v>
      </c>
      <c r="B46" s="113"/>
      <c r="C46" s="141">
        <f>Assumptions!$B$42</f>
        <v>3</v>
      </c>
      <c r="D46" s="141">
        <f>Assumptions!$B$42</f>
        <v>3</v>
      </c>
      <c r="E46" s="141">
        <f>Assumptions!$B$42</f>
        <v>3</v>
      </c>
      <c r="F46" s="112"/>
      <c r="G46" s="151">
        <f>Assumptions!$B$42</f>
        <v>3</v>
      </c>
      <c r="H46" s="151">
        <f>Assumptions!$B$42</f>
        <v>3</v>
      </c>
      <c r="I46" s="151">
        <f>Assumptions!$B$42</f>
        <v>3</v>
      </c>
    </row>
    <row r="47" spans="1:9" s="63" customFormat="1" ht="27" customHeight="1" x14ac:dyDescent="0.35">
      <c r="A47" s="155" t="s">
        <v>30</v>
      </c>
      <c r="B47" s="113"/>
      <c r="C47" s="142">
        <f>Assumptions!$B$43</f>
        <v>0.8</v>
      </c>
      <c r="D47" s="142">
        <f>Assumptions!$B$43</f>
        <v>0.8</v>
      </c>
      <c r="E47" s="142">
        <f>Assumptions!$B$43</f>
        <v>0.8</v>
      </c>
      <c r="F47" s="112"/>
      <c r="G47" s="142">
        <f>Assumptions!$B$43</f>
        <v>0.8</v>
      </c>
      <c r="H47" s="142">
        <f>Assumptions!$B$43</f>
        <v>0.8</v>
      </c>
      <c r="I47" s="142">
        <f>Assumptions!$B$43</f>
        <v>0.8</v>
      </c>
    </row>
    <row r="48" spans="1:9" s="63" customFormat="1" ht="27" customHeight="1" x14ac:dyDescent="0.35">
      <c r="A48" s="155" t="s">
        <v>31</v>
      </c>
      <c r="B48" s="113"/>
      <c r="C48" s="142">
        <f>Assumptions!$B$44</f>
        <v>0.05</v>
      </c>
      <c r="D48" s="142">
        <f>Assumptions!$B$44</f>
        <v>0.05</v>
      </c>
      <c r="E48" s="142">
        <f>Assumptions!$B$44</f>
        <v>0.05</v>
      </c>
      <c r="F48" s="112"/>
      <c r="G48" s="142">
        <f>Assumptions!$B$44</f>
        <v>0.05</v>
      </c>
      <c r="H48" s="142">
        <f>Assumptions!$B$44</f>
        <v>0.05</v>
      </c>
      <c r="I48" s="142">
        <f>Assumptions!$B$44</f>
        <v>0.05</v>
      </c>
    </row>
    <row r="49" spans="1:13" s="63" customFormat="1" ht="15" customHeight="1" x14ac:dyDescent="0.35">
      <c r="A49" s="75"/>
      <c r="B49" s="113"/>
      <c r="C49" s="142"/>
      <c r="D49" s="142"/>
      <c r="E49" s="142"/>
      <c r="F49" s="112"/>
      <c r="G49" s="142"/>
      <c r="H49" s="142"/>
      <c r="I49" s="142"/>
    </row>
    <row r="50" spans="1:13" s="63" customFormat="1" ht="15" customHeight="1" x14ac:dyDescent="0.35">
      <c r="A50" s="75" t="s">
        <v>64</v>
      </c>
      <c r="B50" s="113"/>
      <c r="C50" s="141">
        <f>C44*C46*C47*C48</f>
        <v>0</v>
      </c>
      <c r="D50" s="141">
        <f>D44*D46*D47*D48</f>
        <v>7979.9999999999873</v>
      </c>
      <c r="E50" s="141">
        <f>E44*E46*E47*E48</f>
        <v>15162</v>
      </c>
      <c r="F50" s="112"/>
      <c r="G50" s="141">
        <f>G44*G46*G47*G48</f>
        <v>0</v>
      </c>
      <c r="H50" s="141">
        <f>H44*H46*H47*H48</f>
        <v>11400</v>
      </c>
      <c r="I50" s="141">
        <f>I44*I46*I47*I48</f>
        <v>23370.000000000015</v>
      </c>
    </row>
    <row r="51" spans="1:13" s="63" customFormat="1" ht="15" customHeight="1" x14ac:dyDescent="0.35">
      <c r="A51" s="116" t="s">
        <v>65</v>
      </c>
      <c r="B51" s="117"/>
      <c r="C51" s="196">
        <f>Benefits!B10*C50</f>
        <v>0</v>
      </c>
      <c r="D51" s="196">
        <f>D50*Assumptions!$B$11</f>
        <v>3191999.9999999949</v>
      </c>
      <c r="E51" s="196">
        <f>E50*Assumptions!$B$11</f>
        <v>6064800</v>
      </c>
      <c r="F51" s="197"/>
      <c r="G51" s="196">
        <f>G50*Assumptions!$B$11</f>
        <v>0</v>
      </c>
      <c r="H51" s="196">
        <f>H50*Assumptions!$B$11</f>
        <v>4560000</v>
      </c>
      <c r="I51" s="196">
        <f>I50*Assumptions!$B$11</f>
        <v>9348000.0000000056</v>
      </c>
    </row>
    <row r="52" spans="1:13" s="63" customFormat="1" ht="15" customHeight="1" thickBot="1" x14ac:dyDescent="0.4">
      <c r="A52" s="121"/>
      <c r="B52" s="122"/>
      <c r="C52" s="123"/>
      <c r="D52" s="123"/>
      <c r="E52" s="123"/>
      <c r="F52" s="124"/>
      <c r="G52" s="123"/>
      <c r="H52" s="123"/>
      <c r="I52" s="123"/>
    </row>
    <row r="53" spans="1:13" s="74" customFormat="1" ht="15" customHeight="1" thickTop="1" thickBot="1" x14ac:dyDescent="0.4">
      <c r="A53" s="125" t="s">
        <v>66</v>
      </c>
      <c r="B53" s="126"/>
      <c r="C53" s="198">
        <f>C23+C34+C51</f>
        <v>0</v>
      </c>
      <c r="D53" s="198">
        <f>D23+D34+D51</f>
        <v>43092000.000000037</v>
      </c>
      <c r="E53" s="198">
        <f>E23+E34+E51</f>
        <v>81874800.000000075</v>
      </c>
      <c r="F53" s="199"/>
      <c r="G53" s="198">
        <f>G23+G34+G51</f>
        <v>0</v>
      </c>
      <c r="H53" s="198">
        <f>H23+H34+H51</f>
        <v>64409999.999999978</v>
      </c>
      <c r="I53" s="198">
        <f>I23+I34+I51</f>
        <v>132040500</v>
      </c>
    </row>
    <row r="54" spans="1:13" s="74" customFormat="1" ht="15" customHeight="1" thickTop="1" x14ac:dyDescent="0.35">
      <c r="B54" s="118"/>
      <c r="C54" s="127"/>
      <c r="D54" s="127"/>
      <c r="E54" s="127"/>
      <c r="F54" s="128"/>
      <c r="G54" s="129"/>
      <c r="H54" s="129"/>
      <c r="I54" s="129"/>
    </row>
    <row r="55" spans="1:13" s="63" customFormat="1" ht="15" customHeight="1" x14ac:dyDescent="0.35">
      <c r="A55" s="229" t="s">
        <v>67</v>
      </c>
      <c r="B55" s="229"/>
      <c r="C55" s="229"/>
      <c r="D55" s="229"/>
      <c r="E55" s="229"/>
      <c r="F55" s="229"/>
      <c r="G55" s="229"/>
      <c r="H55" s="229"/>
      <c r="I55" s="229"/>
    </row>
    <row r="56" spans="1:13" s="63" customFormat="1" ht="15" customHeight="1" x14ac:dyDescent="0.35">
      <c r="A56" s="130"/>
      <c r="B56" s="131"/>
      <c r="C56" s="144" t="s">
        <v>68</v>
      </c>
      <c r="D56" s="144" t="s">
        <v>69</v>
      </c>
      <c r="E56" s="144" t="s">
        <v>70</v>
      </c>
      <c r="F56" s="111"/>
      <c r="G56" s="144" t="s">
        <v>68</v>
      </c>
      <c r="H56" s="144" t="s">
        <v>69</v>
      </c>
      <c r="I56" s="144" t="s">
        <v>70</v>
      </c>
    </row>
    <row r="57" spans="1:13" s="63" customFormat="1" ht="15" customHeight="1" x14ac:dyDescent="0.35">
      <c r="A57" s="187" t="s">
        <v>181</v>
      </c>
      <c r="B57" s="118"/>
      <c r="C57" s="152"/>
      <c r="D57" s="152"/>
      <c r="E57" s="152"/>
      <c r="F57" s="132"/>
      <c r="G57" s="152"/>
      <c r="H57" s="152"/>
      <c r="I57" s="152"/>
    </row>
    <row r="58" spans="1:13" s="63" customFormat="1" ht="15" customHeight="1" x14ac:dyDescent="0.35">
      <c r="A58" s="75" t="s">
        <v>176</v>
      </c>
      <c r="B58" s="118"/>
      <c r="C58" s="153">
        <f>Assumptions!$B$58</f>
        <v>1000000</v>
      </c>
      <c r="D58" s="153">
        <f>Assumptions!$B$58</f>
        <v>1000000</v>
      </c>
      <c r="E58" s="153">
        <f>Assumptions!$B$58</f>
        <v>1000000</v>
      </c>
      <c r="F58" s="132"/>
      <c r="G58" s="153">
        <f>Assumptions!$B$58</f>
        <v>1000000</v>
      </c>
      <c r="H58" s="153">
        <f>Assumptions!$B$58</f>
        <v>1000000</v>
      </c>
      <c r="I58" s="153">
        <f>Assumptions!$B$58</f>
        <v>1000000</v>
      </c>
    </row>
    <row r="59" spans="1:13" s="63" customFormat="1" ht="15" customHeight="1" x14ac:dyDescent="0.35">
      <c r="A59" s="75" t="s">
        <v>71</v>
      </c>
      <c r="B59" s="118"/>
      <c r="C59" s="200">
        <f>C58*Assumptions!$B$57</f>
        <v>5000000</v>
      </c>
      <c r="D59" s="200">
        <f>D58*Assumptions!$B$57</f>
        <v>5000000</v>
      </c>
      <c r="E59" s="200">
        <f>E58*Assumptions!$B$57</f>
        <v>5000000</v>
      </c>
      <c r="F59" s="201"/>
      <c r="G59" s="200">
        <f>G58*Assumptions!$B$57</f>
        <v>5000000</v>
      </c>
      <c r="H59" s="200">
        <f>H58*Assumptions!$B$57</f>
        <v>5000000</v>
      </c>
      <c r="I59" s="200">
        <f>I58*Assumptions!$B$57</f>
        <v>5000000</v>
      </c>
      <c r="M59" s="133"/>
    </row>
    <row r="60" spans="1:13" s="63" customFormat="1" ht="15" customHeight="1" x14ac:dyDescent="0.35">
      <c r="A60" s="75"/>
      <c r="B60" s="118"/>
      <c r="C60" s="152"/>
      <c r="D60" s="152"/>
      <c r="E60" s="152"/>
      <c r="F60" s="132"/>
      <c r="G60" s="152"/>
      <c r="H60" s="152"/>
      <c r="I60" s="152"/>
    </row>
    <row r="61" spans="1:13" s="63" customFormat="1" ht="15" customHeight="1" x14ac:dyDescent="0.35">
      <c r="A61" s="75" t="s">
        <v>177</v>
      </c>
      <c r="B61" s="134"/>
      <c r="C61" s="154">
        <f>Assumptions!$B$61*Assumptions!B62</f>
        <v>0</v>
      </c>
      <c r="D61" s="154">
        <f>Assumptions!$B$61*Assumptions!B63</f>
        <v>7.4999999999999997E-2</v>
      </c>
      <c r="E61" s="154">
        <f>Assumptions!$B$61*Assumptions!B64</f>
        <v>0.15</v>
      </c>
      <c r="F61" s="132"/>
      <c r="G61" s="154">
        <f>Assumptions!$C$61*Assumptions!C62</f>
        <v>0</v>
      </c>
      <c r="H61" s="154">
        <f>Assumptions!$C$61*Assumptions!C63</f>
        <v>0.1</v>
      </c>
      <c r="I61" s="154">
        <f>Assumptions!$C$61*Assumptions!C64</f>
        <v>0.2</v>
      </c>
    </row>
    <row r="62" spans="1:13" s="63" customFormat="1" ht="15" customHeight="1" x14ac:dyDescent="0.35">
      <c r="A62" s="75" t="s">
        <v>72</v>
      </c>
      <c r="B62" s="134"/>
      <c r="C62" s="153">
        <f>C58-(C61*C58)</f>
        <v>1000000</v>
      </c>
      <c r="D62" s="153">
        <f>D58-(D61*D58)</f>
        <v>925000</v>
      </c>
      <c r="E62" s="153">
        <f>E58-(E61*E58)</f>
        <v>850000</v>
      </c>
      <c r="F62" s="132"/>
      <c r="G62" s="153">
        <f>G58-(G61*G58)</f>
        <v>1000000</v>
      </c>
      <c r="H62" s="153">
        <f>H58-(H61*H58)</f>
        <v>900000</v>
      </c>
      <c r="I62" s="153">
        <f>I58-(I61*I58)</f>
        <v>800000</v>
      </c>
      <c r="L62" s="133"/>
      <c r="M62" s="136"/>
    </row>
    <row r="63" spans="1:13" s="63" customFormat="1" ht="15" customHeight="1" x14ac:dyDescent="0.35">
      <c r="A63" s="75"/>
      <c r="B63" s="134"/>
      <c r="C63" s="153"/>
      <c r="D63" s="153"/>
      <c r="E63" s="153"/>
      <c r="F63" s="132"/>
      <c r="G63" s="153"/>
      <c r="H63" s="153"/>
      <c r="I63" s="153"/>
      <c r="L63" s="133"/>
      <c r="M63" s="136"/>
    </row>
    <row r="64" spans="1:13" s="63" customFormat="1" ht="15" customHeight="1" x14ac:dyDescent="0.35">
      <c r="A64" s="75" t="s">
        <v>73</v>
      </c>
      <c r="B64" s="134"/>
      <c r="C64" s="202">
        <f>C62*Assumptions!$B$57</f>
        <v>5000000</v>
      </c>
      <c r="D64" s="202">
        <f>D62*Assumptions!$B$57</f>
        <v>4625000</v>
      </c>
      <c r="E64" s="202">
        <f>E62*Assumptions!$B$57</f>
        <v>4250000</v>
      </c>
      <c r="F64" s="203"/>
      <c r="G64" s="202">
        <f>G62*Assumptions!$B$57</f>
        <v>5000000</v>
      </c>
      <c r="H64" s="202">
        <f>H62*Assumptions!$B$57</f>
        <v>4500000</v>
      </c>
      <c r="I64" s="202">
        <f>I62*Assumptions!$B$57</f>
        <v>4000000</v>
      </c>
    </row>
    <row r="65" spans="1:12" s="63" customFormat="1" ht="15" customHeight="1" x14ac:dyDescent="0.35">
      <c r="A65" s="116" t="s">
        <v>74</v>
      </c>
      <c r="B65" s="137"/>
      <c r="C65" s="204">
        <f>C59-C64</f>
        <v>0</v>
      </c>
      <c r="D65" s="204">
        <f>D59-D64</f>
        <v>375000</v>
      </c>
      <c r="E65" s="204">
        <f>E59-E64</f>
        <v>750000</v>
      </c>
      <c r="F65" s="205"/>
      <c r="G65" s="204">
        <f>G59-G64</f>
        <v>0</v>
      </c>
      <c r="H65" s="204">
        <f>H59-H64</f>
        <v>500000</v>
      </c>
      <c r="I65" s="204">
        <f>I59-I64</f>
        <v>1000000</v>
      </c>
      <c r="L65" s="70"/>
    </row>
    <row r="66" spans="1:12" s="63" customFormat="1" ht="15" customHeight="1" thickBot="1" x14ac:dyDescent="0.4">
      <c r="A66" s="192"/>
      <c r="B66" s="193"/>
      <c r="C66" s="206"/>
      <c r="D66" s="206"/>
      <c r="E66" s="206"/>
      <c r="F66" s="207"/>
      <c r="G66" s="208"/>
      <c r="H66" s="208"/>
      <c r="I66" s="208"/>
    </row>
    <row r="67" spans="1:12" s="63" customFormat="1" ht="15" customHeight="1" thickTop="1" thickBot="1" x14ac:dyDescent="0.4">
      <c r="A67" s="125" t="s">
        <v>75</v>
      </c>
      <c r="B67" s="126"/>
      <c r="C67" s="209">
        <f>C65</f>
        <v>0</v>
      </c>
      <c r="D67" s="209">
        <f>D65</f>
        <v>375000</v>
      </c>
      <c r="E67" s="209">
        <f>E65</f>
        <v>750000</v>
      </c>
      <c r="F67" s="210"/>
      <c r="G67" s="209">
        <f>G65</f>
        <v>0</v>
      </c>
      <c r="H67" s="209">
        <f>H65</f>
        <v>500000</v>
      </c>
      <c r="I67" s="209">
        <f>I65</f>
        <v>1000000</v>
      </c>
    </row>
    <row r="68" spans="1:12" s="63" customFormat="1" ht="15" customHeight="1" thickTop="1" x14ac:dyDescent="0.35">
      <c r="A68" s="74"/>
      <c r="B68" s="118"/>
      <c r="C68" s="80"/>
      <c r="D68" s="80"/>
      <c r="E68" s="80"/>
      <c r="F68" s="132"/>
      <c r="G68" s="80"/>
      <c r="H68" s="80"/>
      <c r="I68" s="80"/>
    </row>
    <row r="69" spans="1:12" s="63" customFormat="1" ht="15" customHeight="1" x14ac:dyDescent="0.35">
      <c r="A69" s="229" t="s">
        <v>76</v>
      </c>
      <c r="B69" s="229"/>
      <c r="C69" s="229"/>
      <c r="D69" s="229"/>
      <c r="E69" s="229"/>
      <c r="F69" s="229"/>
      <c r="G69" s="229"/>
      <c r="H69" s="229"/>
      <c r="I69" s="229"/>
    </row>
    <row r="70" spans="1:12" s="63" customFormat="1" ht="15" customHeight="1" thickBot="1" x14ac:dyDescent="0.4">
      <c r="A70" s="138"/>
      <c r="B70" s="139"/>
      <c r="C70" s="138"/>
      <c r="D70" s="138"/>
      <c r="E70" s="138"/>
      <c r="F70" s="139"/>
      <c r="G70" s="138"/>
      <c r="H70" s="138"/>
      <c r="I70" s="138"/>
    </row>
    <row r="71" spans="1:12" s="74" customFormat="1" ht="15" customHeight="1" thickTop="1" thickBot="1" x14ac:dyDescent="0.4">
      <c r="A71" s="138" t="s">
        <v>77</v>
      </c>
      <c r="B71" s="126"/>
      <c r="C71" s="198">
        <f>C67+C53</f>
        <v>0</v>
      </c>
      <c r="D71" s="198">
        <f>D67+D53</f>
        <v>43467000.000000037</v>
      </c>
      <c r="E71" s="198">
        <f>E67+E53</f>
        <v>82624800.000000075</v>
      </c>
      <c r="F71" s="199"/>
      <c r="G71" s="198">
        <f>G67+G53</f>
        <v>0</v>
      </c>
      <c r="H71" s="198">
        <f>H67+H53</f>
        <v>64909999.999999978</v>
      </c>
      <c r="I71" s="198">
        <f>I67+I53</f>
        <v>133040500</v>
      </c>
    </row>
    <row r="72" spans="1:12" s="74" customFormat="1" ht="15" customHeight="1" thickTop="1" x14ac:dyDescent="0.35">
      <c r="A72" s="63"/>
      <c r="B72" s="63"/>
      <c r="C72" s="63"/>
      <c r="D72" s="63"/>
      <c r="E72" s="63"/>
      <c r="F72" s="63"/>
      <c r="G72" s="63"/>
      <c r="H72" s="140"/>
      <c r="I72" s="140"/>
    </row>
    <row r="73" spans="1:12" ht="50.15" customHeight="1" x14ac:dyDescent="0.35">
      <c r="A73" s="224" t="s">
        <v>184</v>
      </c>
      <c r="B73" s="224"/>
      <c r="C73" s="224"/>
      <c r="D73" s="224"/>
      <c r="E73" s="224"/>
      <c r="F73" s="224"/>
      <c r="G73" s="224"/>
      <c r="H73" s="224"/>
      <c r="I73" s="224"/>
    </row>
  </sheetData>
  <mergeCells count="9">
    <mergeCell ref="C10:E10"/>
    <mergeCell ref="G10:I10"/>
    <mergeCell ref="A73:I73"/>
    <mergeCell ref="A6:I6"/>
    <mergeCell ref="A2:I2"/>
    <mergeCell ref="A11:I11"/>
    <mergeCell ref="A55:I55"/>
    <mergeCell ref="A69:I69"/>
    <mergeCell ref="A8:I8"/>
  </mergeCells>
  <pageMargins left="0.5" right="0.5" top="0.5" bottom="0.75" header="0.5" footer="0.5"/>
  <pageSetup scale="80" orientation="landscape" r:id="rId1"/>
  <headerFooter>
    <oddFooter>&amp;L&amp;"Arial,Regular"&amp;8© 2019, Forrester Research, Inc.&amp;R&amp;"Arial,Regular"&amp;8&amp;P</oddFooter>
  </headerFooter>
  <rowBreaks count="2" manualBreakCount="2">
    <brk id="34" max="8" man="1"/>
    <brk id="52" max="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M66"/>
  <sheetViews>
    <sheetView zoomScaleNormal="100" workbookViewId="0">
      <selection activeCell="K10" sqref="K10"/>
    </sheetView>
  </sheetViews>
  <sheetFormatPr defaultColWidth="9.1796875" defaultRowHeight="14" x14ac:dyDescent="0.35"/>
  <cols>
    <col min="1" max="1" width="50.7265625" style="183" customWidth="1"/>
    <col min="2" max="2" width="5.7265625" style="183" customWidth="1"/>
    <col min="3" max="5" width="15.7265625" style="183" customWidth="1"/>
    <col min="6" max="6" width="5.7265625" style="183" customWidth="1"/>
    <col min="7" max="9" width="15.7265625" style="183" customWidth="1"/>
    <col min="10" max="10" width="9.1796875" style="183"/>
    <col min="11" max="11" width="9.1796875" style="183" customWidth="1"/>
    <col min="12" max="16384" width="9.1796875" style="183"/>
  </cols>
  <sheetData>
    <row r="1" spans="1:11" s="180" customFormat="1" ht="15" customHeight="1" x14ac:dyDescent="0.35">
      <c r="A1" s="60" t="s">
        <v>0</v>
      </c>
      <c r="B1" s="181"/>
      <c r="C1" s="181"/>
      <c r="D1" s="181"/>
      <c r="E1" s="181"/>
      <c r="F1" s="181"/>
      <c r="G1" s="181"/>
      <c r="H1" s="181"/>
      <c r="I1" s="181"/>
    </row>
    <row r="2" spans="1:11" ht="21" customHeight="1" x14ac:dyDescent="0.35">
      <c r="A2" s="225" t="s">
        <v>1</v>
      </c>
      <c r="B2" s="225"/>
      <c r="C2" s="225"/>
      <c r="D2" s="225"/>
      <c r="E2" s="225"/>
      <c r="F2" s="225"/>
      <c r="G2" s="225"/>
      <c r="H2" s="225"/>
      <c r="I2" s="225"/>
    </row>
    <row r="3" spans="1:11" s="180" customFormat="1" ht="15" customHeight="1" x14ac:dyDescent="0.35">
      <c r="A3" s="61" t="s">
        <v>2</v>
      </c>
      <c r="B3" s="181"/>
      <c r="C3" s="181"/>
      <c r="D3" s="181"/>
      <c r="E3" s="181"/>
      <c r="F3" s="181"/>
      <c r="G3" s="181"/>
      <c r="H3" s="181"/>
      <c r="I3" s="181"/>
    </row>
    <row r="4" spans="1:11" s="180" customFormat="1" ht="15" customHeight="1" x14ac:dyDescent="0.35">
      <c r="B4" s="181"/>
      <c r="C4" s="181"/>
      <c r="D4" s="181"/>
      <c r="E4" s="181"/>
      <c r="F4" s="181"/>
      <c r="G4" s="181"/>
      <c r="H4" s="181"/>
      <c r="I4" s="181"/>
    </row>
    <row r="5" spans="1:11" s="180" customFormat="1" ht="15" customHeight="1" x14ac:dyDescent="0.35">
      <c r="A5" s="181"/>
    </row>
    <row r="6" spans="1:11" s="180" customFormat="1" ht="15" customHeight="1" x14ac:dyDescent="0.35">
      <c r="A6" s="226" t="s">
        <v>191</v>
      </c>
      <c r="B6" s="226"/>
      <c r="C6" s="226"/>
      <c r="D6" s="226"/>
      <c r="E6" s="226"/>
      <c r="F6" s="226"/>
      <c r="G6" s="226"/>
      <c r="H6" s="226"/>
      <c r="I6" s="226"/>
    </row>
    <row r="7" spans="1:11" s="63" customFormat="1" ht="15" customHeight="1" x14ac:dyDescent="0.35"/>
    <row r="8" spans="1:11" s="63" customFormat="1" ht="15" customHeight="1" x14ac:dyDescent="0.35">
      <c r="A8" s="227" t="s">
        <v>78</v>
      </c>
      <c r="B8" s="227"/>
      <c r="C8" s="227"/>
      <c r="D8" s="227"/>
      <c r="E8" s="227"/>
      <c r="F8" s="227"/>
      <c r="G8" s="227"/>
      <c r="H8" s="227"/>
      <c r="I8" s="227"/>
    </row>
    <row r="9" spans="1:11" s="63" customFormat="1" ht="15" customHeight="1" x14ac:dyDescent="0.35">
      <c r="C9" s="108"/>
      <c r="G9" s="135"/>
    </row>
    <row r="10" spans="1:11" s="63" customFormat="1" ht="15" customHeight="1" x14ac:dyDescent="0.35">
      <c r="B10" s="109"/>
      <c r="C10" s="228" t="s">
        <v>43</v>
      </c>
      <c r="D10" s="228"/>
      <c r="E10" s="228"/>
      <c r="F10" s="109"/>
      <c r="G10" s="228" t="s">
        <v>44</v>
      </c>
      <c r="H10" s="228"/>
      <c r="I10" s="228"/>
      <c r="K10" s="245"/>
    </row>
    <row r="11" spans="1:11" s="63" customFormat="1" ht="15" customHeight="1" x14ac:dyDescent="0.35">
      <c r="A11" s="229" t="s">
        <v>79</v>
      </c>
      <c r="B11" s="229"/>
      <c r="C11" s="229"/>
      <c r="D11" s="229"/>
      <c r="E11" s="229"/>
      <c r="F11" s="229"/>
      <c r="G11" s="229"/>
      <c r="H11" s="229"/>
      <c r="I11" s="229"/>
    </row>
    <row r="12" spans="1:11" s="63" customFormat="1" ht="15" customHeight="1" x14ac:dyDescent="0.35">
      <c r="A12" s="105"/>
      <c r="B12" s="111"/>
      <c r="C12" s="144" t="s">
        <v>46</v>
      </c>
      <c r="D12" s="144" t="s">
        <v>47</v>
      </c>
      <c r="E12" s="144" t="s">
        <v>48</v>
      </c>
      <c r="F12" s="163"/>
      <c r="G12" s="144" t="s">
        <v>46</v>
      </c>
      <c r="H12" s="144" t="s">
        <v>47</v>
      </c>
      <c r="I12" s="144" t="s">
        <v>48</v>
      </c>
    </row>
    <row r="13" spans="1:11" s="63" customFormat="1" ht="15" customHeight="1" x14ac:dyDescent="0.35">
      <c r="A13" s="107" t="s">
        <v>80</v>
      </c>
      <c r="B13" s="118"/>
      <c r="C13" s="164"/>
      <c r="D13" s="164"/>
      <c r="E13" s="164"/>
      <c r="F13" s="165"/>
      <c r="G13" s="164"/>
      <c r="H13" s="164"/>
      <c r="I13" s="164"/>
    </row>
    <row r="14" spans="1:11" s="63" customFormat="1" ht="15" customHeight="1" x14ac:dyDescent="0.35">
      <c r="A14" s="82" t="s">
        <v>178</v>
      </c>
      <c r="B14" s="118"/>
      <c r="C14" s="164"/>
      <c r="D14" s="164"/>
      <c r="E14" s="164"/>
      <c r="F14" s="165"/>
      <c r="G14" s="164"/>
      <c r="H14" s="164"/>
      <c r="I14" s="164"/>
    </row>
    <row r="15" spans="1:11" s="63" customFormat="1" ht="15" customHeight="1" x14ac:dyDescent="0.35">
      <c r="A15" s="78" t="s">
        <v>81</v>
      </c>
      <c r="B15" s="112"/>
      <c r="C15" s="236"/>
      <c r="D15" s="236">
        <v>10</v>
      </c>
      <c r="E15" s="236">
        <v>75</v>
      </c>
      <c r="F15" s="165"/>
      <c r="G15" s="236"/>
      <c r="H15" s="236">
        <v>10</v>
      </c>
      <c r="I15" s="236">
        <v>100</v>
      </c>
    </row>
    <row r="16" spans="1:11" s="63" customFormat="1" ht="15" customHeight="1" x14ac:dyDescent="0.35">
      <c r="A16" s="75" t="s">
        <v>82</v>
      </c>
      <c r="B16" s="156"/>
      <c r="C16" s="237"/>
      <c r="D16" s="238">
        <v>2000</v>
      </c>
      <c r="E16" s="238">
        <v>2000</v>
      </c>
      <c r="F16" s="212"/>
      <c r="G16" s="238"/>
      <c r="H16" s="238">
        <v>3000</v>
      </c>
      <c r="I16" s="238">
        <v>3000</v>
      </c>
    </row>
    <row r="17" spans="1:9" s="63" customFormat="1" ht="15" customHeight="1" x14ac:dyDescent="0.35">
      <c r="A17" s="82"/>
      <c r="B17" s="157"/>
      <c r="C17" s="166"/>
      <c r="D17" s="166"/>
      <c r="E17" s="166"/>
      <c r="F17" s="167"/>
      <c r="G17" s="166"/>
      <c r="H17" s="166"/>
      <c r="I17" s="166"/>
    </row>
    <row r="18" spans="1:9" s="63" customFormat="1" ht="15" customHeight="1" x14ac:dyDescent="0.35">
      <c r="A18" s="158" t="s">
        <v>83</v>
      </c>
      <c r="B18" s="159"/>
      <c r="C18" s="213">
        <f>C15*C16</f>
        <v>0</v>
      </c>
      <c r="D18" s="213">
        <f>D15*D16</f>
        <v>20000</v>
      </c>
      <c r="E18" s="213">
        <f>E15*E16</f>
        <v>150000</v>
      </c>
      <c r="F18" s="214"/>
      <c r="G18" s="213">
        <f>G15*G16</f>
        <v>0</v>
      </c>
      <c r="H18" s="213">
        <f>H15*H16</f>
        <v>30000</v>
      </c>
      <c r="I18" s="213">
        <f>I15*I16</f>
        <v>300000</v>
      </c>
    </row>
    <row r="19" spans="1:9" s="63" customFormat="1" ht="15" customHeight="1" x14ac:dyDescent="0.35">
      <c r="A19" s="107" t="s">
        <v>84</v>
      </c>
      <c r="B19" s="118"/>
      <c r="C19" s="164"/>
      <c r="D19" s="164"/>
      <c r="E19" s="164"/>
      <c r="F19" s="165"/>
      <c r="G19" s="164"/>
      <c r="H19" s="164"/>
      <c r="I19" s="164"/>
    </row>
    <row r="20" spans="1:9" s="63" customFormat="1" ht="15" customHeight="1" x14ac:dyDescent="0.35">
      <c r="A20" s="82" t="s">
        <v>85</v>
      </c>
      <c r="B20" s="118"/>
      <c r="C20" s="164"/>
      <c r="D20" s="164"/>
      <c r="E20" s="164"/>
      <c r="F20" s="165"/>
      <c r="G20" s="164"/>
      <c r="H20" s="164"/>
      <c r="I20" s="164"/>
    </row>
    <row r="21" spans="1:9" s="63" customFormat="1" ht="15" customHeight="1" x14ac:dyDescent="0.35">
      <c r="A21" s="75" t="s">
        <v>86</v>
      </c>
      <c r="B21" s="156"/>
      <c r="C21" s="238">
        <v>15000000</v>
      </c>
      <c r="D21" s="238">
        <v>0</v>
      </c>
      <c r="E21" s="238">
        <v>0</v>
      </c>
      <c r="F21" s="215"/>
      <c r="G21" s="238">
        <v>20000000</v>
      </c>
      <c r="H21" s="238">
        <v>0</v>
      </c>
      <c r="I21" s="238">
        <v>0</v>
      </c>
    </row>
    <row r="22" spans="1:9" s="63" customFormat="1" ht="15" customHeight="1" x14ac:dyDescent="0.35">
      <c r="A22" s="161"/>
      <c r="B22" s="162"/>
      <c r="C22" s="216"/>
      <c r="D22" s="216"/>
      <c r="E22" s="216"/>
      <c r="F22" s="217"/>
      <c r="G22" s="216"/>
      <c r="H22" s="216"/>
      <c r="I22" s="216"/>
    </row>
    <row r="23" spans="1:9" s="63" customFormat="1" ht="15" customHeight="1" x14ac:dyDescent="0.35">
      <c r="A23" s="158" t="s">
        <v>87</v>
      </c>
      <c r="B23" s="159"/>
      <c r="C23" s="218">
        <f>SUM(C21:C21)</f>
        <v>15000000</v>
      </c>
      <c r="D23" s="218">
        <f>SUM(D21:D21)</f>
        <v>0</v>
      </c>
      <c r="E23" s="218">
        <f>SUM(E21:E21)</f>
        <v>0</v>
      </c>
      <c r="F23" s="219"/>
      <c r="G23" s="218">
        <f>SUM(G21:G21)</f>
        <v>20000000</v>
      </c>
      <c r="H23" s="218">
        <f>SUM(H21:H21)</f>
        <v>0</v>
      </c>
      <c r="I23" s="218">
        <f>SUM(I21:I21)</f>
        <v>0</v>
      </c>
    </row>
    <row r="24" spans="1:9" s="63" customFormat="1" ht="15" customHeight="1" x14ac:dyDescent="0.35">
      <c r="A24" s="107" t="s">
        <v>88</v>
      </c>
      <c r="B24" s="118"/>
      <c r="C24" s="164"/>
      <c r="D24" s="164"/>
      <c r="E24" s="164"/>
      <c r="F24" s="165"/>
      <c r="G24" s="164"/>
      <c r="H24" s="164"/>
      <c r="I24" s="164"/>
    </row>
    <row r="25" spans="1:9" s="63" customFormat="1" ht="15" customHeight="1" x14ac:dyDescent="0.35">
      <c r="A25" s="82" t="s">
        <v>89</v>
      </c>
      <c r="B25" s="118"/>
      <c r="C25" s="164"/>
      <c r="D25" s="164"/>
      <c r="E25" s="164"/>
      <c r="F25" s="165"/>
      <c r="G25" s="164"/>
      <c r="H25" s="164"/>
      <c r="I25" s="164"/>
    </row>
    <row r="26" spans="1:9" s="63" customFormat="1" ht="15" customHeight="1" x14ac:dyDescent="0.35">
      <c r="A26" s="78" t="s">
        <v>90</v>
      </c>
      <c r="B26" s="156"/>
      <c r="C26" s="239">
        <v>0</v>
      </c>
      <c r="D26" s="240">
        <v>10</v>
      </c>
      <c r="E26" s="240">
        <v>5</v>
      </c>
      <c r="F26" s="168"/>
      <c r="G26" s="240">
        <v>0</v>
      </c>
      <c r="H26" s="240">
        <v>15</v>
      </c>
      <c r="I26" s="240">
        <v>10</v>
      </c>
    </row>
    <row r="27" spans="1:9" s="63" customFormat="1" ht="15" customHeight="1" x14ac:dyDescent="0.35">
      <c r="A27" s="78" t="s">
        <v>91</v>
      </c>
      <c r="B27" s="156"/>
      <c r="C27" s="241"/>
      <c r="D27" s="241">
        <v>1</v>
      </c>
      <c r="E27" s="241">
        <v>1</v>
      </c>
      <c r="F27" s="169"/>
      <c r="G27" s="241"/>
      <c r="H27" s="241">
        <v>1</v>
      </c>
      <c r="I27" s="241">
        <v>1</v>
      </c>
    </row>
    <row r="28" spans="1:9" s="63" customFormat="1" ht="15" customHeight="1" x14ac:dyDescent="0.35">
      <c r="A28" s="75" t="s">
        <v>92</v>
      </c>
      <c r="B28" s="156"/>
      <c r="C28" s="238">
        <v>0</v>
      </c>
      <c r="D28" s="238">
        <v>90000</v>
      </c>
      <c r="E28" s="238">
        <v>90000</v>
      </c>
      <c r="F28" s="215"/>
      <c r="G28" s="238">
        <v>0</v>
      </c>
      <c r="H28" s="238">
        <v>90000</v>
      </c>
      <c r="I28" s="238">
        <v>90000</v>
      </c>
    </row>
    <row r="29" spans="1:9" s="63" customFormat="1" ht="15" customHeight="1" x14ac:dyDescent="0.35">
      <c r="A29" s="75"/>
      <c r="B29" s="156"/>
      <c r="C29" s="211"/>
      <c r="D29" s="211"/>
      <c r="E29" s="211"/>
      <c r="F29" s="215"/>
      <c r="G29" s="211"/>
      <c r="H29" s="211"/>
      <c r="I29" s="211"/>
    </row>
    <row r="30" spans="1:9" s="63" customFormat="1" ht="15" customHeight="1" x14ac:dyDescent="0.35">
      <c r="A30" s="75" t="s">
        <v>93</v>
      </c>
      <c r="B30" s="156"/>
      <c r="C30" s="238"/>
      <c r="D30" s="238">
        <v>100000</v>
      </c>
      <c r="E30" s="238"/>
      <c r="F30" s="215"/>
      <c r="G30" s="238"/>
      <c r="H30" s="238">
        <v>200000</v>
      </c>
      <c r="I30" s="238"/>
    </row>
    <row r="31" spans="1:9" s="63" customFormat="1" ht="15" customHeight="1" x14ac:dyDescent="0.35">
      <c r="A31" s="161"/>
      <c r="B31" s="119"/>
      <c r="C31" s="220"/>
      <c r="D31" s="220"/>
      <c r="E31" s="220"/>
      <c r="F31" s="215"/>
      <c r="G31" s="220"/>
      <c r="H31" s="220"/>
      <c r="I31" s="220"/>
    </row>
    <row r="32" spans="1:9" s="63" customFormat="1" ht="15" customHeight="1" x14ac:dyDescent="0.35">
      <c r="A32" s="158" t="s">
        <v>94</v>
      </c>
      <c r="B32" s="159"/>
      <c r="C32" s="213">
        <f>(C26*C27*C28)+C30</f>
        <v>0</v>
      </c>
      <c r="D32" s="213">
        <f>(D26*D27*D28)+D30</f>
        <v>1000000</v>
      </c>
      <c r="E32" s="213">
        <f>(E26*E27*E28)+E30</f>
        <v>450000</v>
      </c>
      <c r="F32" s="219"/>
      <c r="G32" s="213">
        <f>(G26*G27*G28)+G30</f>
        <v>0</v>
      </c>
      <c r="H32" s="213">
        <f>(H26*H27*H28)+H30</f>
        <v>1550000</v>
      </c>
      <c r="I32" s="213">
        <f>(I26*I27*I28)+I30</f>
        <v>900000</v>
      </c>
    </row>
    <row r="33" spans="1:11" s="63" customFormat="1" ht="15" customHeight="1" x14ac:dyDescent="0.35">
      <c r="A33" s="107" t="s">
        <v>95</v>
      </c>
      <c r="B33" s="157"/>
      <c r="C33" s="221"/>
      <c r="D33" s="221"/>
      <c r="E33" s="221"/>
      <c r="F33" s="222"/>
      <c r="G33" s="221"/>
      <c r="H33" s="221"/>
      <c r="I33" s="221"/>
    </row>
    <row r="34" spans="1:11" s="63" customFormat="1" ht="15" customHeight="1" x14ac:dyDescent="0.35">
      <c r="A34" s="75" t="s">
        <v>95</v>
      </c>
      <c r="B34" s="157"/>
      <c r="C34" s="242">
        <v>0</v>
      </c>
      <c r="D34" s="242">
        <v>0</v>
      </c>
      <c r="E34" s="242">
        <v>0</v>
      </c>
      <c r="F34" s="222"/>
      <c r="G34" s="242">
        <v>0</v>
      </c>
      <c r="H34" s="242">
        <v>0</v>
      </c>
      <c r="I34" s="242">
        <v>0</v>
      </c>
      <c r="K34" s="68"/>
    </row>
    <row r="35" spans="1:11" s="63" customFormat="1" ht="15" customHeight="1" x14ac:dyDescent="0.35">
      <c r="A35" s="78"/>
      <c r="B35" s="157"/>
      <c r="C35" s="216"/>
      <c r="D35" s="216"/>
      <c r="E35" s="216"/>
      <c r="F35" s="222"/>
      <c r="G35" s="216"/>
      <c r="H35" s="216"/>
      <c r="I35" s="216"/>
      <c r="K35" s="68"/>
    </row>
    <row r="36" spans="1:11" s="63" customFormat="1" ht="15" customHeight="1" x14ac:dyDescent="0.35">
      <c r="A36" s="160" t="s">
        <v>96</v>
      </c>
      <c r="B36" s="159"/>
      <c r="C36" s="213">
        <f>C34</f>
        <v>0</v>
      </c>
      <c r="D36" s="213">
        <f t="shared" ref="D36:E36" si="0">D34</f>
        <v>0</v>
      </c>
      <c r="E36" s="213">
        <f t="shared" si="0"/>
        <v>0</v>
      </c>
      <c r="F36" s="214"/>
      <c r="G36" s="213">
        <f>G34</f>
        <v>0</v>
      </c>
      <c r="H36" s="213">
        <f t="shared" ref="H36:I36" si="1">H34</f>
        <v>0</v>
      </c>
      <c r="I36" s="213">
        <f t="shared" si="1"/>
        <v>0</v>
      </c>
    </row>
    <row r="37" spans="1:11" s="63" customFormat="1" ht="15" customHeight="1" x14ac:dyDescent="0.35">
      <c r="A37" s="107" t="s">
        <v>179</v>
      </c>
      <c r="B37" s="157"/>
      <c r="C37" s="140"/>
      <c r="D37" s="140"/>
      <c r="E37" s="140"/>
      <c r="F37" s="128"/>
      <c r="G37" s="140"/>
      <c r="H37" s="140"/>
      <c r="I37" s="140"/>
    </row>
    <row r="38" spans="1:11" s="63" customFormat="1" ht="15" customHeight="1" x14ac:dyDescent="0.35">
      <c r="A38" s="82" t="s">
        <v>97</v>
      </c>
      <c r="B38" s="157"/>
      <c r="C38" s="170"/>
      <c r="D38" s="170"/>
      <c r="E38" s="170"/>
      <c r="F38" s="171"/>
      <c r="G38" s="170"/>
      <c r="H38" s="170"/>
      <c r="I38" s="170"/>
    </row>
    <row r="39" spans="1:11" s="63" customFormat="1" ht="15" customHeight="1" x14ac:dyDescent="0.35">
      <c r="A39" s="78" t="s">
        <v>98</v>
      </c>
      <c r="B39" s="157"/>
      <c r="C39" s="236">
        <v>2</v>
      </c>
      <c r="D39" s="236">
        <v>2</v>
      </c>
      <c r="E39" s="236">
        <v>2</v>
      </c>
      <c r="F39" s="171"/>
      <c r="G39" s="236">
        <v>4</v>
      </c>
      <c r="H39" s="236">
        <v>4</v>
      </c>
      <c r="I39" s="236">
        <v>4</v>
      </c>
    </row>
    <row r="40" spans="1:11" s="63" customFormat="1" ht="15" customHeight="1" x14ac:dyDescent="0.35">
      <c r="A40" s="78" t="s">
        <v>99</v>
      </c>
      <c r="B40" s="157"/>
      <c r="C40" s="243">
        <v>0.8</v>
      </c>
      <c r="D40" s="243">
        <v>0.8</v>
      </c>
      <c r="E40" s="243">
        <v>0.8</v>
      </c>
      <c r="F40" s="171"/>
      <c r="G40" s="243">
        <v>1</v>
      </c>
      <c r="H40" s="243">
        <v>1</v>
      </c>
      <c r="I40" s="243">
        <v>1</v>
      </c>
    </row>
    <row r="41" spans="1:11" s="63" customFormat="1" ht="15" customHeight="1" x14ac:dyDescent="0.35">
      <c r="A41" s="75" t="s">
        <v>92</v>
      </c>
      <c r="B41" s="157"/>
      <c r="C41" s="244">
        <v>300000</v>
      </c>
      <c r="D41" s="244">
        <v>300000</v>
      </c>
      <c r="E41" s="244">
        <v>300000</v>
      </c>
      <c r="F41" s="212"/>
      <c r="G41" s="244">
        <v>300000</v>
      </c>
      <c r="H41" s="244">
        <v>300000</v>
      </c>
      <c r="I41" s="244">
        <v>300000</v>
      </c>
    </row>
    <row r="42" spans="1:11" s="63" customFormat="1" ht="15" customHeight="1" x14ac:dyDescent="0.35">
      <c r="A42" s="75"/>
      <c r="B42" s="157"/>
      <c r="C42" s="152"/>
      <c r="D42" s="152"/>
      <c r="E42" s="152"/>
      <c r="F42" s="172"/>
      <c r="G42" s="152"/>
      <c r="H42" s="152"/>
      <c r="I42" s="152"/>
    </row>
    <row r="43" spans="1:11" s="63" customFormat="1" ht="15" customHeight="1" x14ac:dyDescent="0.35">
      <c r="A43" s="78" t="s">
        <v>90</v>
      </c>
      <c r="B43" s="157"/>
      <c r="C43" s="236">
        <v>3</v>
      </c>
      <c r="D43" s="236">
        <v>3</v>
      </c>
      <c r="E43" s="236">
        <v>3</v>
      </c>
      <c r="F43" s="171"/>
      <c r="G43" s="236">
        <v>6</v>
      </c>
      <c r="H43" s="236">
        <v>6</v>
      </c>
      <c r="I43" s="236">
        <v>6</v>
      </c>
    </row>
    <row r="44" spans="1:11" s="63" customFormat="1" ht="15" customHeight="1" x14ac:dyDescent="0.35">
      <c r="A44" s="78" t="s">
        <v>91</v>
      </c>
      <c r="B44" s="157"/>
      <c r="C44" s="243">
        <v>0.8</v>
      </c>
      <c r="D44" s="243">
        <v>0.8</v>
      </c>
      <c r="E44" s="243">
        <v>0.8</v>
      </c>
      <c r="F44" s="171"/>
      <c r="G44" s="243">
        <v>1</v>
      </c>
      <c r="H44" s="243">
        <v>1</v>
      </c>
      <c r="I44" s="243">
        <v>1</v>
      </c>
    </row>
    <row r="45" spans="1:11" s="63" customFormat="1" ht="15" customHeight="1" x14ac:dyDescent="0.35">
      <c r="A45" s="75" t="s">
        <v>92</v>
      </c>
      <c r="B45" s="157"/>
      <c r="C45" s="244">
        <v>80000</v>
      </c>
      <c r="D45" s="244">
        <v>80000</v>
      </c>
      <c r="E45" s="244">
        <v>80000</v>
      </c>
      <c r="F45" s="212"/>
      <c r="G45" s="244">
        <v>80000</v>
      </c>
      <c r="H45" s="244">
        <v>80000</v>
      </c>
      <c r="I45" s="244">
        <v>80000</v>
      </c>
    </row>
    <row r="46" spans="1:11" s="63" customFormat="1" ht="15" customHeight="1" x14ac:dyDescent="0.35">
      <c r="A46" s="78"/>
      <c r="B46" s="157"/>
      <c r="C46" s="200"/>
      <c r="D46" s="200"/>
      <c r="E46" s="200"/>
      <c r="F46" s="212"/>
      <c r="G46" s="200"/>
      <c r="H46" s="200"/>
      <c r="I46" s="200"/>
    </row>
    <row r="47" spans="1:11" s="63" customFormat="1" ht="15" customHeight="1" x14ac:dyDescent="0.35">
      <c r="A47" s="160" t="s">
        <v>180</v>
      </c>
      <c r="B47" s="159"/>
      <c r="C47" s="213">
        <f>(C39*C40*C41)+(C43*C44*C45)</f>
        <v>672000</v>
      </c>
      <c r="D47" s="213">
        <f>(D39*D40*D41)+(D43*D44*D45)</f>
        <v>672000</v>
      </c>
      <c r="E47" s="213">
        <f>(E39*E40*E41)+(E43*E44*E45)</f>
        <v>672000</v>
      </c>
      <c r="F47" s="214"/>
      <c r="G47" s="213">
        <f>(G39*G40*G41)+(G43*G44*G45)</f>
        <v>1680000</v>
      </c>
      <c r="H47" s="213">
        <f>(H39*H40*H41)+(H43*H44*H45)</f>
        <v>1680000</v>
      </c>
      <c r="I47" s="213">
        <f>(I39*I40*I41)+(I43*I44*I45)</f>
        <v>1680000</v>
      </c>
    </row>
    <row r="48" spans="1:11" s="63" customFormat="1" ht="15" customHeight="1" x14ac:dyDescent="0.35">
      <c r="A48" s="82"/>
      <c r="B48" s="157"/>
      <c r="C48" s="140"/>
      <c r="D48" s="140"/>
      <c r="E48" s="140"/>
      <c r="F48" s="128"/>
      <c r="G48" s="140"/>
      <c r="H48" s="140"/>
      <c r="I48" s="140"/>
    </row>
    <row r="49" spans="1:13" s="63" customFormat="1" ht="15" customHeight="1" x14ac:dyDescent="0.35">
      <c r="A49" s="229" t="s">
        <v>100</v>
      </c>
      <c r="B49" s="229"/>
      <c r="C49" s="229"/>
      <c r="D49" s="229"/>
      <c r="E49" s="229"/>
      <c r="F49" s="229"/>
      <c r="G49" s="229"/>
      <c r="H49" s="229"/>
      <c r="I49" s="229"/>
    </row>
    <row r="50" spans="1:13" s="63" customFormat="1" ht="15" customHeight="1" thickBot="1" x14ac:dyDescent="0.4">
      <c r="A50" s="138"/>
      <c r="B50" s="139"/>
      <c r="C50" s="138"/>
      <c r="D50" s="138"/>
      <c r="E50" s="138"/>
      <c r="F50" s="139"/>
      <c r="G50" s="138"/>
      <c r="H50" s="138"/>
      <c r="I50" s="138"/>
    </row>
    <row r="51" spans="1:13" s="74" customFormat="1" ht="15" customHeight="1" thickTop="1" thickBot="1" x14ac:dyDescent="0.4">
      <c r="A51" s="138" t="s">
        <v>77</v>
      </c>
      <c r="B51" s="126"/>
      <c r="C51" s="198">
        <f>C18+C23+C32+C36+C47</f>
        <v>15672000</v>
      </c>
      <c r="D51" s="198">
        <f>D18+D23+D32+D36+D47</f>
        <v>1692000</v>
      </c>
      <c r="E51" s="198">
        <f>E18+E23+E32+E36+E47</f>
        <v>1272000</v>
      </c>
      <c r="F51" s="199"/>
      <c r="G51" s="198">
        <f>G18+G23+G32+G36+G47</f>
        <v>21680000</v>
      </c>
      <c r="H51" s="198">
        <f>H18+H23+H32+H36+H47</f>
        <v>3260000</v>
      </c>
      <c r="I51" s="198">
        <f>I18+I23+I32+I36+I47</f>
        <v>2880000</v>
      </c>
      <c r="J51" s="63"/>
      <c r="K51" s="63"/>
      <c r="L51" s="63"/>
      <c r="M51" s="63"/>
    </row>
    <row r="52" spans="1:13" s="63" customFormat="1" ht="15" customHeight="1" thickTop="1" x14ac:dyDescent="0.35"/>
    <row r="53" spans="1:13" ht="50.15" customHeight="1" x14ac:dyDescent="0.35">
      <c r="A53" s="224" t="s">
        <v>184</v>
      </c>
      <c r="B53" s="224"/>
      <c r="C53" s="224"/>
      <c r="D53" s="224"/>
      <c r="E53" s="224"/>
      <c r="F53" s="224"/>
      <c r="G53" s="224"/>
      <c r="H53" s="224"/>
      <c r="I53" s="224"/>
    </row>
    <row r="54" spans="1:13" ht="15" customHeight="1" x14ac:dyDescent="0.35"/>
    <row r="55" spans="1:13" ht="15" customHeight="1" x14ac:dyDescent="0.35"/>
    <row r="56" spans="1:13" ht="15" customHeight="1" x14ac:dyDescent="0.35"/>
    <row r="57" spans="1:13" ht="15" customHeight="1" x14ac:dyDescent="0.35"/>
    <row r="58" spans="1:13" ht="15" customHeight="1" x14ac:dyDescent="0.35"/>
    <row r="59" spans="1:13" ht="15" customHeight="1" x14ac:dyDescent="0.35"/>
    <row r="60" spans="1:13" ht="15" customHeight="1" x14ac:dyDescent="0.35"/>
    <row r="61" spans="1:13" ht="15" customHeight="1" x14ac:dyDescent="0.35"/>
    <row r="62" spans="1:13" ht="15" customHeight="1" x14ac:dyDescent="0.35"/>
    <row r="63" spans="1:13" ht="15" customHeight="1" x14ac:dyDescent="0.35"/>
    <row r="64" spans="1:13" ht="15" customHeight="1" x14ac:dyDescent="0.35"/>
    <row r="65" spans="1:5" ht="15" customHeight="1" x14ac:dyDescent="0.35"/>
    <row r="66" spans="1:5" ht="40" customHeight="1" x14ac:dyDescent="0.35">
      <c r="A66" s="191"/>
      <c r="B66" s="191"/>
      <c r="C66" s="191"/>
      <c r="D66" s="191"/>
      <c r="E66" s="191"/>
    </row>
  </sheetData>
  <mergeCells count="8">
    <mergeCell ref="G10:I10"/>
    <mergeCell ref="C10:E10"/>
    <mergeCell ref="A53:I53"/>
    <mergeCell ref="A6:I6"/>
    <mergeCell ref="A2:I2"/>
    <mergeCell ref="A49:I49"/>
    <mergeCell ref="A11:I11"/>
    <mergeCell ref="A8:I8"/>
  </mergeCells>
  <pageMargins left="0.5" right="0.5" top="0.5" bottom="0.75" header="0.5" footer="0.5"/>
  <pageSetup scale="81" orientation="landscape" r:id="rId1"/>
  <headerFooter>
    <oddFooter>&amp;L&amp;"Arial,Regular"&amp;8© 2019, Forrester Research, Inc.&amp;R&amp;"Arial,Regular"&amp;8&amp;P</oddFooter>
  </headerFooter>
  <rowBreaks count="1" manualBreakCount="1">
    <brk id="32" max="8"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4"/>
  <sheetViews>
    <sheetView zoomScaleNormal="100" workbookViewId="0">
      <selection activeCell="A6" sqref="A6:G6"/>
    </sheetView>
  </sheetViews>
  <sheetFormatPr defaultColWidth="9.1796875" defaultRowHeight="14" x14ac:dyDescent="0.35"/>
  <cols>
    <col min="1" max="1" width="20.7265625" style="183" customWidth="1"/>
    <col min="2" max="2" width="25.7265625" style="183" customWidth="1"/>
    <col min="3" max="3" width="5.7265625" style="183" customWidth="1"/>
    <col min="4" max="6" width="15.7265625" style="183" customWidth="1"/>
    <col min="7" max="7" width="20.7265625" style="183" customWidth="1"/>
    <col min="8" max="16384" width="9.1796875" style="183"/>
  </cols>
  <sheetData>
    <row r="1" spans="1:7" s="180" customFormat="1" ht="15" customHeight="1" x14ac:dyDescent="0.35">
      <c r="A1" s="60" t="s">
        <v>0</v>
      </c>
    </row>
    <row r="2" spans="1:7" ht="21" customHeight="1" x14ac:dyDescent="0.35">
      <c r="A2" s="225" t="s">
        <v>1</v>
      </c>
      <c r="B2" s="225"/>
      <c r="C2" s="225"/>
      <c r="D2" s="225"/>
      <c r="E2" s="225"/>
      <c r="F2" s="225"/>
      <c r="G2" s="225"/>
    </row>
    <row r="3" spans="1:7" s="180" customFormat="1" ht="15" customHeight="1" x14ac:dyDescent="0.35">
      <c r="A3" s="61" t="s">
        <v>2</v>
      </c>
    </row>
    <row r="4" spans="1:7" s="180" customFormat="1" ht="15" customHeight="1" x14ac:dyDescent="0.35"/>
    <row r="5" spans="1:7" s="180" customFormat="1" ht="15" customHeight="1" x14ac:dyDescent="0.35">
      <c r="A5" s="181"/>
    </row>
    <row r="6" spans="1:7" s="180" customFormat="1" ht="15" customHeight="1" x14ac:dyDescent="0.35">
      <c r="A6" s="226" t="s">
        <v>191</v>
      </c>
      <c r="B6" s="226"/>
      <c r="C6" s="226"/>
      <c r="D6" s="226"/>
      <c r="E6" s="226"/>
      <c r="F6" s="226"/>
      <c r="G6" s="226"/>
    </row>
    <row r="7" spans="1:7" s="63" customFormat="1" ht="15" customHeight="1" x14ac:dyDescent="0.35"/>
    <row r="8" spans="1:7" s="63" customFormat="1" ht="15" customHeight="1" x14ac:dyDescent="0.35">
      <c r="A8" s="227" t="s">
        <v>101</v>
      </c>
      <c r="B8" s="227"/>
      <c r="C8" s="227"/>
      <c r="D8" s="227"/>
      <c r="E8" s="227"/>
      <c r="F8" s="227"/>
      <c r="G8" s="227"/>
    </row>
    <row r="9" spans="1:7" s="63" customFormat="1" ht="15" customHeight="1" x14ac:dyDescent="0.35"/>
    <row r="10" spans="1:7" s="63" customFormat="1" ht="15" customHeight="1" x14ac:dyDescent="0.35">
      <c r="A10" s="229" t="s">
        <v>102</v>
      </c>
      <c r="B10" s="229"/>
      <c r="C10" s="229"/>
      <c r="D10" s="229"/>
      <c r="E10" s="229"/>
      <c r="F10" s="229"/>
      <c r="G10" s="229"/>
    </row>
    <row r="11" spans="1:7" s="63" customFormat="1" ht="15" customHeight="1" x14ac:dyDescent="0.35">
      <c r="A11" s="105"/>
      <c r="B11" s="105"/>
      <c r="C11" s="111"/>
      <c r="D11" s="144" t="s">
        <v>103</v>
      </c>
      <c r="E11" s="144" t="s">
        <v>104</v>
      </c>
      <c r="F11" s="144" t="s">
        <v>105</v>
      </c>
      <c r="G11" s="144" t="s">
        <v>106</v>
      </c>
    </row>
    <row r="12" spans="1:7" s="63" customFormat="1" ht="15" customHeight="1" x14ac:dyDescent="0.35">
      <c r="B12" s="63" t="str">
        <f>Benefits!A13</f>
        <v>Retention</v>
      </c>
      <c r="C12" s="112"/>
      <c r="D12" s="142">
        <v>1</v>
      </c>
      <c r="E12" s="142">
        <v>1.1000000000000001</v>
      </c>
      <c r="F12" s="142">
        <v>0.75</v>
      </c>
      <c r="G12" s="142">
        <f>(E12+F12)/2</f>
        <v>0.92500000000000004</v>
      </c>
    </row>
    <row r="13" spans="1:7" s="63" customFormat="1" ht="15" customHeight="1" x14ac:dyDescent="0.35">
      <c r="B13" s="189" t="s">
        <v>19</v>
      </c>
      <c r="C13" s="112"/>
      <c r="D13" s="142">
        <v>1</v>
      </c>
      <c r="E13" s="142">
        <v>1.1000000000000001</v>
      </c>
      <c r="F13" s="142">
        <v>0.75</v>
      </c>
      <c r="G13" s="142">
        <f t="shared" ref="G13:G15" si="0">(E13+F13)/2</f>
        <v>0.92500000000000004</v>
      </c>
    </row>
    <row r="14" spans="1:7" s="63" customFormat="1" ht="15" customHeight="1" x14ac:dyDescent="0.35">
      <c r="B14" s="63" t="str">
        <f>Benefits!A35</f>
        <v>Recommendation</v>
      </c>
      <c r="C14" s="112"/>
      <c r="D14" s="142">
        <v>1</v>
      </c>
      <c r="E14" s="142">
        <v>1.1000000000000001</v>
      </c>
      <c r="F14" s="142">
        <v>0.5</v>
      </c>
      <c r="G14" s="142">
        <f t="shared" si="0"/>
        <v>0.8</v>
      </c>
    </row>
    <row r="15" spans="1:7" s="63" customFormat="1" ht="15" customHeight="1" x14ac:dyDescent="0.35">
      <c r="B15" s="63" t="str">
        <f>Benefits!A57</f>
        <v>Call centre cost savings</v>
      </c>
      <c r="C15" s="112"/>
      <c r="D15" s="142">
        <v>1</v>
      </c>
      <c r="E15" s="142">
        <v>1.1000000000000001</v>
      </c>
      <c r="F15" s="142">
        <v>0.9</v>
      </c>
      <c r="G15" s="142">
        <f t="shared" si="0"/>
        <v>1</v>
      </c>
    </row>
    <row r="16" spans="1:7" s="63" customFormat="1" ht="15" customHeight="1" x14ac:dyDescent="0.35">
      <c r="C16" s="112"/>
      <c r="D16" s="135"/>
      <c r="E16" s="135"/>
      <c r="F16" s="135"/>
      <c r="G16" s="135"/>
    </row>
    <row r="17" spans="1:7" s="63" customFormat="1" ht="15" customHeight="1" x14ac:dyDescent="0.35">
      <c r="A17" s="229" t="s">
        <v>107</v>
      </c>
      <c r="B17" s="229"/>
      <c r="C17" s="229"/>
      <c r="D17" s="229"/>
      <c r="E17" s="229"/>
      <c r="F17" s="229"/>
      <c r="G17" s="229"/>
    </row>
    <row r="18" spans="1:7" s="63" customFormat="1" ht="15" customHeight="1" x14ac:dyDescent="0.35">
      <c r="A18" s="105"/>
      <c r="B18" s="105"/>
      <c r="C18" s="111"/>
      <c r="D18" s="144" t="s">
        <v>103</v>
      </c>
      <c r="E18" s="144" t="s">
        <v>104</v>
      </c>
      <c r="F18" s="144" t="s">
        <v>105</v>
      </c>
      <c r="G18" s="144" t="s">
        <v>106</v>
      </c>
    </row>
    <row r="19" spans="1:7" s="63" customFormat="1" ht="15" customHeight="1" x14ac:dyDescent="0.35">
      <c r="B19" s="63" t="str">
        <f>Costs!A13</f>
        <v>Training costs</v>
      </c>
      <c r="C19" s="112"/>
      <c r="D19" s="142">
        <v>1</v>
      </c>
      <c r="E19" s="142">
        <v>0.95</v>
      </c>
      <c r="F19" s="142">
        <v>1.25</v>
      </c>
      <c r="G19" s="142">
        <f>(E19+F19)/2</f>
        <v>1.1000000000000001</v>
      </c>
    </row>
    <row r="20" spans="1:7" s="63" customFormat="1" ht="15" customHeight="1" x14ac:dyDescent="0.35">
      <c r="B20" s="63" t="str">
        <f>Costs!A19</f>
        <v>Technology costs</v>
      </c>
      <c r="C20" s="112"/>
      <c r="D20" s="142">
        <v>1</v>
      </c>
      <c r="E20" s="142">
        <v>0.95</v>
      </c>
      <c r="F20" s="142">
        <v>1.25</v>
      </c>
      <c r="G20" s="142">
        <f t="shared" ref="G20:G22" si="1">(E20+F20)/2</f>
        <v>1.1000000000000001</v>
      </c>
    </row>
    <row r="21" spans="1:7" s="63" customFormat="1" ht="15" customHeight="1" x14ac:dyDescent="0.35">
      <c r="B21" s="63" t="str">
        <f>Costs!A24</f>
        <v>Touchpoint redesign costs</v>
      </c>
      <c r="C21" s="112"/>
      <c r="D21" s="142">
        <v>1</v>
      </c>
      <c r="E21" s="142">
        <v>0.95</v>
      </c>
      <c r="F21" s="142">
        <v>1.25</v>
      </c>
      <c r="G21" s="142">
        <f t="shared" si="1"/>
        <v>1.1000000000000001</v>
      </c>
    </row>
    <row r="22" spans="1:7" s="63" customFormat="1" ht="15" customHeight="1" x14ac:dyDescent="0.35">
      <c r="B22" s="63" t="str">
        <f>Costs!A33</f>
        <v>Professional services</v>
      </c>
      <c r="C22" s="112"/>
      <c r="D22" s="142">
        <v>1</v>
      </c>
      <c r="E22" s="142">
        <v>0.95</v>
      </c>
      <c r="F22" s="142">
        <v>1.25</v>
      </c>
      <c r="G22" s="142">
        <f t="shared" si="1"/>
        <v>1.1000000000000001</v>
      </c>
    </row>
    <row r="23" spans="1:7" s="63" customFormat="1" ht="15" customHeight="1" x14ac:dyDescent="0.35">
      <c r="B23" s="63" t="str">
        <f>Costs!A37</f>
        <v>Programme operation costs</v>
      </c>
      <c r="C23" s="112"/>
      <c r="D23" s="142">
        <v>1</v>
      </c>
      <c r="E23" s="142">
        <v>0.95</v>
      </c>
      <c r="F23" s="142">
        <v>1.25</v>
      </c>
      <c r="G23" s="142">
        <f t="shared" ref="G23" si="2">(E23+F23)/2</f>
        <v>1.1000000000000001</v>
      </c>
    </row>
    <row r="24" spans="1:7" s="63" customFormat="1" ht="15" customHeight="1" x14ac:dyDescent="0.35"/>
    <row r="25" spans="1:7" ht="60" customHeight="1" x14ac:dyDescent="0.35">
      <c r="A25" s="224" t="s">
        <v>184</v>
      </c>
      <c r="B25" s="224"/>
      <c r="C25" s="224"/>
      <c r="D25" s="224"/>
      <c r="E25" s="224"/>
      <c r="F25" s="224"/>
      <c r="G25" s="224"/>
    </row>
    <row r="26" spans="1:7" ht="15" customHeight="1" x14ac:dyDescent="0.35"/>
    <row r="27" spans="1:7" ht="15" customHeight="1" x14ac:dyDescent="0.35"/>
    <row r="28" spans="1:7" ht="15" customHeight="1" x14ac:dyDescent="0.35"/>
    <row r="29" spans="1:7" ht="15" customHeight="1" x14ac:dyDescent="0.35"/>
    <row r="30" spans="1:7" ht="15" customHeight="1" x14ac:dyDescent="0.35"/>
    <row r="31" spans="1:7" ht="15" customHeight="1" x14ac:dyDescent="0.35"/>
    <row r="32" spans="1:7"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spans="1:5" ht="15" customHeight="1" x14ac:dyDescent="0.35"/>
    <row r="50" spans="1:5" ht="15" customHeight="1" x14ac:dyDescent="0.35"/>
    <row r="51" spans="1:5" ht="15" customHeight="1" x14ac:dyDescent="0.35"/>
    <row r="52" spans="1:5" ht="15" customHeight="1" x14ac:dyDescent="0.35"/>
    <row r="53" spans="1:5" ht="15" customHeight="1" x14ac:dyDescent="0.35"/>
    <row r="54" spans="1:5" ht="15" customHeight="1" x14ac:dyDescent="0.35"/>
    <row r="55" spans="1:5" ht="15" customHeight="1" x14ac:dyDescent="0.35"/>
    <row r="56" spans="1:5" ht="15" customHeight="1" x14ac:dyDescent="0.35"/>
    <row r="57" spans="1:5" ht="15" customHeight="1" x14ac:dyDescent="0.35"/>
    <row r="58" spans="1:5" ht="15" customHeight="1" x14ac:dyDescent="0.35"/>
    <row r="59" spans="1:5" ht="15" customHeight="1" x14ac:dyDescent="0.35"/>
    <row r="60" spans="1:5" ht="15" customHeight="1" x14ac:dyDescent="0.35"/>
    <row r="61" spans="1:5" ht="15" customHeight="1" x14ac:dyDescent="0.35"/>
    <row r="62" spans="1:5" ht="15" customHeight="1" x14ac:dyDescent="0.35"/>
    <row r="63" spans="1:5" ht="15" customHeight="1" x14ac:dyDescent="0.35"/>
    <row r="64" spans="1:5" ht="40" customHeight="1" x14ac:dyDescent="0.35">
      <c r="A64" s="191"/>
      <c r="B64" s="191"/>
      <c r="C64" s="191"/>
      <c r="D64" s="191"/>
      <c r="E64" s="191"/>
    </row>
  </sheetData>
  <mergeCells count="6">
    <mergeCell ref="A25:G25"/>
    <mergeCell ref="A2:G2"/>
    <mergeCell ref="A6:G6"/>
    <mergeCell ref="A8:G8"/>
    <mergeCell ref="A10:G10"/>
    <mergeCell ref="A17:G17"/>
  </mergeCells>
  <pageMargins left="0.5" right="0.5" top="0.5" bottom="0.75" header="0.5" footer="0.5"/>
  <pageSetup orientation="landscape" r:id="rId1"/>
  <headerFooter>
    <oddFooter>&amp;L&amp;"Arial,Regular"&amp;8© 2019, Forrester Research, Inc.&amp;R&amp;"Arial,Regular"&amp;8&amp;P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sheetPr>
  <dimension ref="A1:J66"/>
  <sheetViews>
    <sheetView zoomScaleNormal="100" workbookViewId="0">
      <selection activeCell="A6" sqref="A6:F6"/>
    </sheetView>
  </sheetViews>
  <sheetFormatPr defaultColWidth="9.1796875" defaultRowHeight="14" x14ac:dyDescent="0.35"/>
  <cols>
    <col min="1" max="1" width="25.7265625" style="183" customWidth="1"/>
    <col min="2" max="2" width="5.7265625" style="183" customWidth="1"/>
    <col min="3" max="6" width="15.7265625" style="183" customWidth="1"/>
    <col min="7" max="10" width="9.1796875" style="183" customWidth="1"/>
    <col min="11" max="16384" width="9.1796875" style="183"/>
  </cols>
  <sheetData>
    <row r="1" spans="1:10" s="180" customFormat="1" ht="15" customHeight="1" x14ac:dyDescent="0.35">
      <c r="A1" s="60" t="s">
        <v>0</v>
      </c>
    </row>
    <row r="2" spans="1:10" ht="21" customHeight="1" x14ac:dyDescent="0.35">
      <c r="A2" s="225" t="s">
        <v>1</v>
      </c>
      <c r="B2" s="225"/>
      <c r="C2" s="225"/>
      <c r="D2" s="225"/>
      <c r="E2" s="225"/>
      <c r="F2" s="225"/>
    </row>
    <row r="3" spans="1:10" s="180" customFormat="1" ht="15" customHeight="1" x14ac:dyDescent="0.35">
      <c r="A3" s="61" t="s">
        <v>2</v>
      </c>
      <c r="B3" s="181"/>
      <c r="C3" s="181"/>
      <c r="D3" s="181"/>
      <c r="E3" s="181"/>
      <c r="F3" s="181"/>
    </row>
    <row r="4" spans="1:10" s="180" customFormat="1" ht="15" customHeight="1" x14ac:dyDescent="0.35">
      <c r="B4" s="181"/>
      <c r="C4" s="181"/>
      <c r="D4" s="181"/>
      <c r="E4" s="181"/>
      <c r="F4" s="181"/>
    </row>
    <row r="5" spans="1:10" s="180" customFormat="1" ht="15" customHeight="1" x14ac:dyDescent="0.35">
      <c r="A5" s="181"/>
    </row>
    <row r="6" spans="1:10" s="180" customFormat="1" ht="15" customHeight="1" x14ac:dyDescent="0.35">
      <c r="A6" s="226" t="s">
        <v>191</v>
      </c>
      <c r="B6" s="226"/>
      <c r="C6" s="226"/>
      <c r="D6" s="226"/>
      <c r="E6" s="226"/>
      <c r="F6" s="226"/>
    </row>
    <row r="7" spans="1:10" s="63" customFormat="1" ht="15" customHeight="1" x14ac:dyDescent="0.35"/>
    <row r="8" spans="1:10" s="63" customFormat="1" ht="15" customHeight="1" x14ac:dyDescent="0.35">
      <c r="A8" s="227" t="s">
        <v>108</v>
      </c>
      <c r="B8" s="227"/>
      <c r="C8" s="227"/>
      <c r="D8" s="227"/>
      <c r="E8" s="227"/>
      <c r="F8" s="227"/>
    </row>
    <row r="9" spans="1:10" s="63" customFormat="1" ht="15" customHeight="1" x14ac:dyDescent="0.35">
      <c r="A9" s="173"/>
      <c r="B9" s="174"/>
      <c r="C9" s="74"/>
      <c r="D9" s="74"/>
      <c r="E9" s="74"/>
      <c r="F9" s="74"/>
    </row>
    <row r="10" spans="1:10" s="63" customFormat="1" ht="15" customHeight="1" x14ac:dyDescent="0.35">
      <c r="A10" s="230" t="s">
        <v>109</v>
      </c>
      <c r="B10" s="230"/>
      <c r="C10" s="230"/>
      <c r="D10" s="230"/>
      <c r="E10" s="230"/>
      <c r="F10" s="230"/>
    </row>
    <row r="11" spans="1:10" s="63" customFormat="1" ht="15" customHeight="1" x14ac:dyDescent="0.35">
      <c r="B11" s="112"/>
      <c r="C11" s="145" t="s">
        <v>46</v>
      </c>
      <c r="D11" s="145" t="s">
        <v>47</v>
      </c>
      <c r="E11" s="145" t="s">
        <v>48</v>
      </c>
      <c r="F11" s="190" t="s">
        <v>110</v>
      </c>
    </row>
    <row r="12" spans="1:10" s="63" customFormat="1" ht="15" customHeight="1" x14ac:dyDescent="0.35">
      <c r="A12" s="74"/>
      <c r="B12" s="112"/>
      <c r="C12" s="148"/>
      <c r="D12" s="148"/>
      <c r="E12" s="148"/>
      <c r="F12" s="148"/>
    </row>
    <row r="13" spans="1:10" s="63" customFormat="1" ht="15" customHeight="1" x14ac:dyDescent="0.35">
      <c r="A13" s="75" t="s">
        <v>111</v>
      </c>
      <c r="B13" s="112"/>
      <c r="C13" s="211">
        <f>Benefits!C71</f>
        <v>0</v>
      </c>
      <c r="D13" s="211">
        <f>Benefits!D71</f>
        <v>43467000.000000037</v>
      </c>
      <c r="E13" s="211">
        <f>Benefits!E71</f>
        <v>82624800.000000075</v>
      </c>
      <c r="F13" s="211">
        <f>NPV(0.1,C13:E13)</f>
        <v>98000375.657400519</v>
      </c>
    </row>
    <row r="14" spans="1:10" s="63" customFormat="1" ht="15" customHeight="1" x14ac:dyDescent="0.35">
      <c r="A14" s="75" t="s">
        <v>100</v>
      </c>
      <c r="B14" s="112"/>
      <c r="C14" s="211">
        <f>Costs!C51</f>
        <v>15672000</v>
      </c>
      <c r="D14" s="211">
        <f>Costs!D51</f>
        <v>1692000</v>
      </c>
      <c r="E14" s="211">
        <f>Costs!E51</f>
        <v>1272000</v>
      </c>
      <c r="F14" s="211">
        <f t="shared" ref="F14:F15" si="0">NPV(0.1,C14:E14)</f>
        <v>16601292.261457548</v>
      </c>
      <c r="G14" s="80"/>
      <c r="H14" s="80"/>
      <c r="I14" s="175"/>
      <c r="J14" s="175"/>
    </row>
    <row r="15" spans="1:10" s="63" customFormat="1" ht="15" customHeight="1" x14ac:dyDescent="0.35">
      <c r="A15" s="75" t="s">
        <v>112</v>
      </c>
      <c r="B15" s="112"/>
      <c r="C15" s="211">
        <f>C13-C14</f>
        <v>-15672000</v>
      </c>
      <c r="D15" s="211">
        <f t="shared" ref="D15:E15" si="1">D13-D14</f>
        <v>41775000.000000037</v>
      </c>
      <c r="E15" s="211">
        <f t="shared" si="1"/>
        <v>81352800.000000075</v>
      </c>
      <c r="F15" s="211">
        <f t="shared" si="0"/>
        <v>81399083.395942956</v>
      </c>
    </row>
    <row r="16" spans="1:10" s="63" customFormat="1" ht="15" customHeight="1" x14ac:dyDescent="0.35">
      <c r="A16" s="161" t="s">
        <v>113</v>
      </c>
      <c r="B16" s="112"/>
      <c r="C16" s="148"/>
      <c r="D16" s="148"/>
      <c r="E16" s="148"/>
      <c r="F16" s="176">
        <f>(F13-F14)/F14</f>
        <v>4.9031775426858459</v>
      </c>
    </row>
    <row r="17" spans="1:6" s="63" customFormat="1" ht="15" customHeight="1" x14ac:dyDescent="0.35">
      <c r="A17" s="75"/>
      <c r="B17" s="112"/>
      <c r="C17" s="69"/>
      <c r="D17" s="69"/>
      <c r="E17" s="69"/>
      <c r="F17" s="69"/>
    </row>
    <row r="18" spans="1:6" s="63" customFormat="1" ht="15" customHeight="1" x14ac:dyDescent="0.35">
      <c r="A18" s="231" t="s">
        <v>114</v>
      </c>
      <c r="B18" s="231"/>
      <c r="C18" s="231"/>
      <c r="D18" s="231"/>
      <c r="E18" s="231"/>
      <c r="F18" s="231"/>
    </row>
    <row r="19" spans="1:6" s="63" customFormat="1" ht="15" customHeight="1" x14ac:dyDescent="0.35">
      <c r="B19" s="112"/>
      <c r="C19" s="145" t="s">
        <v>46</v>
      </c>
      <c r="D19" s="145" t="s">
        <v>47</v>
      </c>
      <c r="E19" s="145" t="s">
        <v>48</v>
      </c>
      <c r="F19" s="190" t="s">
        <v>110</v>
      </c>
    </row>
    <row r="20" spans="1:6" s="63" customFormat="1" ht="15" customHeight="1" x14ac:dyDescent="0.35">
      <c r="A20" s="74"/>
      <c r="B20" s="112"/>
      <c r="C20" s="148"/>
      <c r="D20" s="148"/>
      <c r="E20" s="148"/>
      <c r="F20" s="148"/>
    </row>
    <row r="21" spans="1:6" s="63" customFormat="1" ht="15" customHeight="1" x14ac:dyDescent="0.35">
      <c r="A21" s="75" t="s">
        <v>111</v>
      </c>
      <c r="B21" s="112"/>
      <c r="C21" s="211">
        <f>Benefits!C23*Risk!$G$13+Benefits!C34*Risk!$G$13+Benefits!C51*Risk!$G$14+Benefits!C67*Risk!$G$15</f>
        <v>0</v>
      </c>
      <c r="D21" s="211">
        <f>Benefits!D23*Risk!$G$12+Benefits!D34*Risk!$G$13+Benefits!D51*Risk!$G$14+Benefits!D67*Risk!$G$15</f>
        <v>39836100.000000045</v>
      </c>
      <c r="E21" s="211">
        <f>Benefits!E23*Risk!$G$12+Benefits!E34*Risk!$G$13+Benefits!E51*Risk!$G$14+Benefits!E67*Risk!$G$15</f>
        <v>75726090.000000075</v>
      </c>
      <c r="F21" s="211">
        <f>NPV(0.1,C21:E21)</f>
        <v>89816528.9256199</v>
      </c>
    </row>
    <row r="22" spans="1:6" s="63" customFormat="1" ht="15" customHeight="1" x14ac:dyDescent="0.35">
      <c r="A22" s="75" t="s">
        <v>100</v>
      </c>
      <c r="B22" s="112"/>
      <c r="C22" s="211">
        <f>Costs!C18*Risk!$G$19+Costs!C23*Risk!$G$20+Costs!C32*Risk!$G$21+Costs!C36*Risk!$G$22+Costs!C47*Risk!$G$23</f>
        <v>17239200.000000004</v>
      </c>
      <c r="D22" s="211">
        <f>Costs!D18*Risk!$G$19+Costs!D23*Risk!$G$20+Costs!D32*Risk!$G$21+Costs!D36*Risk!$G$22+Costs!D47*Risk!$G$23</f>
        <v>1861200</v>
      </c>
      <c r="E22" s="211">
        <f>Costs!E18*Risk!$G$19+Costs!E23*Risk!$G$20+Costs!E32*Risk!$G$21+Costs!E36*Risk!$G$22+Costs!E47*Risk!$G$23</f>
        <v>1399200</v>
      </c>
      <c r="F22" s="211">
        <f t="shared" ref="F22:F23" si="2">NPV(0.1,C22:E22)</f>
        <v>18261421.487603307</v>
      </c>
    </row>
    <row r="23" spans="1:6" s="63" customFormat="1" ht="15" customHeight="1" x14ac:dyDescent="0.35">
      <c r="A23" s="75" t="s">
        <v>112</v>
      </c>
      <c r="B23" s="112"/>
      <c r="C23" s="211">
        <f>C21-C22</f>
        <v>-17239200.000000004</v>
      </c>
      <c r="D23" s="211">
        <f t="shared" ref="D23" si="3">D21-D22</f>
        <v>37974900.000000045</v>
      </c>
      <c r="E23" s="211">
        <f t="shared" ref="E23" si="4">E21-E22</f>
        <v>74326890.000000075</v>
      </c>
      <c r="F23" s="211">
        <f t="shared" si="2"/>
        <v>71555107.438016608</v>
      </c>
    </row>
    <row r="24" spans="1:6" s="63" customFormat="1" ht="15" customHeight="1" x14ac:dyDescent="0.35">
      <c r="A24" s="161" t="s">
        <v>113</v>
      </c>
      <c r="B24" s="112"/>
      <c r="C24" s="148"/>
      <c r="D24" s="148"/>
      <c r="E24" s="148"/>
      <c r="F24" s="176">
        <f>(F21-F22)/F22</f>
        <v>3.9183755485076279</v>
      </c>
    </row>
    <row r="25" spans="1:6" s="63" customFormat="1" ht="15" customHeight="1" x14ac:dyDescent="0.35"/>
    <row r="26" spans="1:6" ht="70" customHeight="1" x14ac:dyDescent="0.35">
      <c r="A26" s="224" t="s">
        <v>184</v>
      </c>
      <c r="B26" s="224"/>
      <c r="C26" s="224"/>
      <c r="D26" s="224"/>
      <c r="E26" s="224"/>
      <c r="F26" s="224"/>
    </row>
    <row r="27" spans="1:6" ht="15" customHeight="1" x14ac:dyDescent="0.35"/>
    <row r="28" spans="1:6" ht="15" customHeight="1" x14ac:dyDescent="0.35"/>
    <row r="29" spans="1:6" ht="15" customHeight="1" x14ac:dyDescent="0.35"/>
    <row r="30" spans="1:6" ht="15" customHeight="1" x14ac:dyDescent="0.35"/>
    <row r="31" spans="1:6" ht="15" customHeight="1" x14ac:dyDescent="0.35"/>
    <row r="32" spans="1:6"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spans="1:5" ht="15" customHeight="1" x14ac:dyDescent="0.35"/>
    <row r="66" spans="1:5" ht="40" customHeight="1" x14ac:dyDescent="0.35">
      <c r="A66" s="191"/>
      <c r="B66" s="191"/>
      <c r="C66" s="191"/>
      <c r="D66" s="191"/>
      <c r="E66" s="191"/>
    </row>
  </sheetData>
  <mergeCells count="6">
    <mergeCell ref="A26:F26"/>
    <mergeCell ref="A2:F2"/>
    <mergeCell ref="A6:F6"/>
    <mergeCell ref="A8:F8"/>
    <mergeCell ref="A10:F10"/>
    <mergeCell ref="A18:F18"/>
  </mergeCells>
  <pageMargins left="0.5" right="0.5" top="0.5" bottom="0.75" header="0.5" footer="0.5"/>
  <pageSetup orientation="portrait" r:id="rId1"/>
  <headerFooter>
    <oddFooter>&amp;L&amp;"Arial,Regular"&amp;8© 2019, Forrester Research, Inc.&amp;R&amp;"Arial,Regular"&amp;8&amp;P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1:J66"/>
  <sheetViews>
    <sheetView zoomScaleNormal="100" workbookViewId="0">
      <selection activeCell="A6" sqref="A6:F6"/>
    </sheetView>
  </sheetViews>
  <sheetFormatPr defaultColWidth="9.1796875" defaultRowHeight="14" x14ac:dyDescent="0.35"/>
  <cols>
    <col min="1" max="1" width="25.7265625" style="183" customWidth="1"/>
    <col min="2" max="2" width="5.7265625" style="183" customWidth="1"/>
    <col min="3" max="6" width="15.7265625" style="183" customWidth="1"/>
    <col min="7" max="10" width="9.1796875" style="183" customWidth="1"/>
    <col min="11" max="16384" width="9.1796875" style="183"/>
  </cols>
  <sheetData>
    <row r="1" spans="1:10" s="180" customFormat="1" ht="15" customHeight="1" x14ac:dyDescent="0.35">
      <c r="A1" s="60" t="s">
        <v>0</v>
      </c>
    </row>
    <row r="2" spans="1:10" ht="21" customHeight="1" x14ac:dyDescent="0.35">
      <c r="A2" s="225" t="s">
        <v>1</v>
      </c>
      <c r="B2" s="225"/>
      <c r="C2" s="225"/>
      <c r="D2" s="225"/>
      <c r="E2" s="225"/>
      <c r="F2" s="225"/>
    </row>
    <row r="3" spans="1:10" s="180" customFormat="1" ht="15" customHeight="1" x14ac:dyDescent="0.35">
      <c r="A3" s="61" t="s">
        <v>2</v>
      </c>
      <c r="B3" s="181"/>
      <c r="C3" s="181"/>
      <c r="D3" s="181"/>
      <c r="E3" s="181"/>
      <c r="F3" s="181"/>
    </row>
    <row r="4" spans="1:10" s="180" customFormat="1" ht="15" customHeight="1" x14ac:dyDescent="0.35">
      <c r="B4" s="181"/>
      <c r="C4" s="181"/>
      <c r="D4" s="181"/>
      <c r="E4" s="181"/>
      <c r="F4" s="181"/>
    </row>
    <row r="5" spans="1:10" s="180" customFormat="1" ht="15" customHeight="1" x14ac:dyDescent="0.35">
      <c r="A5" s="181"/>
    </row>
    <row r="6" spans="1:10" s="180" customFormat="1" ht="15" customHeight="1" x14ac:dyDescent="0.35">
      <c r="A6" s="226" t="s">
        <v>191</v>
      </c>
      <c r="B6" s="226"/>
      <c r="C6" s="226"/>
      <c r="D6" s="226"/>
      <c r="E6" s="226"/>
      <c r="F6" s="226"/>
    </row>
    <row r="7" spans="1:10" s="63" customFormat="1" ht="15" customHeight="1" x14ac:dyDescent="0.35"/>
    <row r="8" spans="1:10" s="63" customFormat="1" ht="15" customHeight="1" x14ac:dyDescent="0.35">
      <c r="A8" s="227" t="s">
        <v>115</v>
      </c>
      <c r="B8" s="227"/>
      <c r="C8" s="227"/>
      <c r="D8" s="227"/>
      <c r="E8" s="227"/>
      <c r="F8" s="227"/>
    </row>
    <row r="9" spans="1:10" s="63" customFormat="1" ht="15" customHeight="1" x14ac:dyDescent="0.35">
      <c r="A9" s="173"/>
      <c r="B9" s="174"/>
      <c r="C9" s="74"/>
      <c r="D9" s="74"/>
      <c r="E9" s="74"/>
      <c r="F9" s="74"/>
    </row>
    <row r="10" spans="1:10" s="63" customFormat="1" ht="15" customHeight="1" x14ac:dyDescent="0.35">
      <c r="A10" s="230" t="s">
        <v>109</v>
      </c>
      <c r="B10" s="230"/>
      <c r="C10" s="230"/>
      <c r="D10" s="230"/>
      <c r="E10" s="230"/>
      <c r="F10" s="230"/>
    </row>
    <row r="11" spans="1:10" s="63" customFormat="1" ht="15" customHeight="1" x14ac:dyDescent="0.35">
      <c r="B11" s="112"/>
      <c r="C11" s="145" t="s">
        <v>46</v>
      </c>
      <c r="D11" s="145" t="s">
        <v>47</v>
      </c>
      <c r="E11" s="145" t="s">
        <v>48</v>
      </c>
      <c r="F11" s="190" t="s">
        <v>110</v>
      </c>
    </row>
    <row r="12" spans="1:10" s="63" customFormat="1" ht="15" customHeight="1" x14ac:dyDescent="0.35">
      <c r="A12" s="74"/>
      <c r="B12" s="112"/>
      <c r="C12" s="148"/>
      <c r="D12" s="148"/>
      <c r="E12" s="148"/>
      <c r="F12" s="148"/>
    </row>
    <row r="13" spans="1:10" s="63" customFormat="1" ht="15" customHeight="1" x14ac:dyDescent="0.35">
      <c r="A13" s="75" t="s">
        <v>111</v>
      </c>
      <c r="B13" s="112"/>
      <c r="C13" s="246">
        <f>Benefits!G71</f>
        <v>0</v>
      </c>
      <c r="D13" s="246">
        <f>Benefits!H71</f>
        <v>64909999.999999978</v>
      </c>
      <c r="E13" s="246">
        <f>Benefits!I71</f>
        <v>133040500</v>
      </c>
      <c r="F13" s="246">
        <f>NPV(0.1,C13:E13)</f>
        <v>153599924.86851987</v>
      </c>
    </row>
    <row r="14" spans="1:10" s="63" customFormat="1" ht="15" customHeight="1" x14ac:dyDescent="0.35">
      <c r="A14" s="75" t="s">
        <v>100</v>
      </c>
      <c r="B14" s="112"/>
      <c r="C14" s="246">
        <f>Costs!G51</f>
        <v>21680000</v>
      </c>
      <c r="D14" s="246">
        <f>Costs!H51</f>
        <v>3260000</v>
      </c>
      <c r="E14" s="246">
        <f>Costs!I51</f>
        <v>2880000</v>
      </c>
      <c r="F14" s="246">
        <f t="shared" ref="F14:F15" si="0">NPV(0.1,C14:E14)</f>
        <v>24567092.411720507</v>
      </c>
      <c r="G14" s="80"/>
      <c r="H14" s="80"/>
      <c r="I14" s="175"/>
      <c r="J14" s="175"/>
    </row>
    <row r="15" spans="1:10" s="63" customFormat="1" ht="15" customHeight="1" x14ac:dyDescent="0.35">
      <c r="A15" s="75" t="s">
        <v>112</v>
      </c>
      <c r="B15" s="112"/>
      <c r="C15" s="246">
        <f>C13-C14</f>
        <v>-21680000</v>
      </c>
      <c r="D15" s="246">
        <f t="shared" ref="D15:E15" si="1">D13-D14</f>
        <v>61649999.999999978</v>
      </c>
      <c r="E15" s="246">
        <f t="shared" si="1"/>
        <v>130160500</v>
      </c>
      <c r="F15" s="246">
        <f t="shared" si="0"/>
        <v>129032832.45679936</v>
      </c>
    </row>
    <row r="16" spans="1:10" s="63" customFormat="1" ht="15" customHeight="1" x14ac:dyDescent="0.35">
      <c r="A16" s="161" t="s">
        <v>113</v>
      </c>
      <c r="B16" s="112"/>
      <c r="C16" s="148"/>
      <c r="D16" s="148"/>
      <c r="E16" s="148"/>
      <c r="F16" s="176">
        <f>(F13-F14)/F14</f>
        <v>5.2522630799907022</v>
      </c>
    </row>
    <row r="17" spans="1:6" s="63" customFormat="1" ht="15" customHeight="1" x14ac:dyDescent="0.35">
      <c r="A17" s="75"/>
      <c r="B17" s="112"/>
      <c r="C17" s="69"/>
      <c r="D17" s="69"/>
      <c r="E17" s="69"/>
      <c r="F17" s="69"/>
    </row>
    <row r="18" spans="1:6" s="63" customFormat="1" ht="15" customHeight="1" x14ac:dyDescent="0.35">
      <c r="A18" s="231" t="s">
        <v>114</v>
      </c>
      <c r="B18" s="231"/>
      <c r="C18" s="231"/>
      <c r="D18" s="231"/>
      <c r="E18" s="231"/>
      <c r="F18" s="231"/>
    </row>
    <row r="19" spans="1:6" s="63" customFormat="1" ht="15" customHeight="1" x14ac:dyDescent="0.35">
      <c r="B19" s="112"/>
      <c r="C19" s="145" t="s">
        <v>46</v>
      </c>
      <c r="D19" s="145" t="s">
        <v>47</v>
      </c>
      <c r="E19" s="145" t="s">
        <v>48</v>
      </c>
      <c r="F19" s="190" t="s">
        <v>110</v>
      </c>
    </row>
    <row r="20" spans="1:6" s="63" customFormat="1" ht="15" customHeight="1" x14ac:dyDescent="0.35">
      <c r="A20" s="74"/>
      <c r="B20" s="112"/>
      <c r="C20" s="148"/>
      <c r="D20" s="148"/>
      <c r="E20" s="148"/>
      <c r="F20" s="148"/>
    </row>
    <row r="21" spans="1:6" s="63" customFormat="1" ht="15" customHeight="1" x14ac:dyDescent="0.35">
      <c r="A21" s="75" t="s">
        <v>111</v>
      </c>
      <c r="B21" s="112"/>
      <c r="C21" s="246">
        <f>Benefits!G23*Risk!$G$13+Benefits!G34*Risk!$G$13+Benefits!G51*Risk!$G$14+Benefits!G67*Risk!$G$15</f>
        <v>0</v>
      </c>
      <c r="D21" s="246">
        <f>Benefits!H23*Risk!$G$12+Benefits!H34*Risk!$G$13+Benefits!H51*Risk!$G$14+Benefits!H67*Risk!$G$15</f>
        <v>59509249.999999985</v>
      </c>
      <c r="E21" s="246">
        <f>Benefits!I23*Risk!$G$12+Benefits!I34*Risk!$G$13+Benefits!I51*Risk!$G$14+Benefits!I67*Risk!$G$15</f>
        <v>121968962.5</v>
      </c>
      <c r="F21" s="246">
        <f>NPV(0.1,C21:E21)</f>
        <v>140818285.1239669</v>
      </c>
    </row>
    <row r="22" spans="1:6" s="63" customFormat="1" ht="15" customHeight="1" x14ac:dyDescent="0.35">
      <c r="A22" s="75" t="s">
        <v>100</v>
      </c>
      <c r="B22" s="112"/>
      <c r="C22" s="246">
        <f>Costs!G18*Risk!$G$19+Costs!G23*Risk!$G$20+Costs!G32*Risk!$G$21+Costs!G36*Risk!$G$22+Costs!G47*Risk!$G$23</f>
        <v>23848000</v>
      </c>
      <c r="D22" s="246">
        <f>Costs!H18*Risk!$G$19+Costs!H23*Risk!$G$20+Costs!H32*Risk!$G$21+Costs!H36*Risk!$G$22+Costs!H47*Risk!$G$23</f>
        <v>3586000.0000000005</v>
      </c>
      <c r="E22" s="246">
        <f>Costs!I18*Risk!$G$19+Costs!I23*Risk!$G$20+Costs!I32*Risk!$G$21+Costs!I36*Risk!$G$22+Costs!I47*Risk!$G$23</f>
        <v>3168000</v>
      </c>
      <c r="F22" s="246">
        <f t="shared" ref="F22:F23" si="2">NPV(0.1,C22:E22)</f>
        <v>27023801.65289256</v>
      </c>
    </row>
    <row r="23" spans="1:6" s="63" customFormat="1" ht="15" customHeight="1" x14ac:dyDescent="0.35">
      <c r="A23" s="75" t="s">
        <v>112</v>
      </c>
      <c r="B23" s="112"/>
      <c r="C23" s="246">
        <f>C21-C22</f>
        <v>-23848000</v>
      </c>
      <c r="D23" s="246">
        <f t="shared" ref="D23:E23" si="3">D21-D22</f>
        <v>55923249.999999985</v>
      </c>
      <c r="E23" s="246">
        <f t="shared" si="3"/>
        <v>118800962.5</v>
      </c>
      <c r="F23" s="246">
        <f t="shared" si="2"/>
        <v>113794483.47107434</v>
      </c>
    </row>
    <row r="24" spans="1:6" s="63" customFormat="1" ht="15" customHeight="1" x14ac:dyDescent="0.35">
      <c r="A24" s="161" t="s">
        <v>113</v>
      </c>
      <c r="B24" s="112"/>
      <c r="C24" s="148"/>
      <c r="D24" s="148"/>
      <c r="E24" s="148"/>
      <c r="F24" s="176">
        <f>(F21-F22)/F22</f>
        <v>4.2108984121741457</v>
      </c>
    </row>
    <row r="25" spans="1:6" s="63" customFormat="1" ht="15" customHeight="1" x14ac:dyDescent="0.35"/>
    <row r="26" spans="1:6" ht="70" customHeight="1" x14ac:dyDescent="0.35">
      <c r="A26" s="224" t="s">
        <v>184</v>
      </c>
      <c r="B26" s="224"/>
      <c r="C26" s="224"/>
      <c r="D26" s="224"/>
      <c r="E26" s="224"/>
      <c r="F26" s="224"/>
    </row>
    <row r="27" spans="1:6" ht="15" customHeight="1" x14ac:dyDescent="0.35"/>
    <row r="28" spans="1:6" ht="15" customHeight="1" x14ac:dyDescent="0.35"/>
    <row r="29" spans="1:6" ht="15" customHeight="1" x14ac:dyDescent="0.35"/>
    <row r="30" spans="1:6" ht="15" customHeight="1" x14ac:dyDescent="0.35"/>
    <row r="31" spans="1:6" ht="15" customHeight="1" x14ac:dyDescent="0.35"/>
    <row r="32" spans="1:6"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spans="1:5" ht="15" customHeight="1" x14ac:dyDescent="0.35"/>
    <row r="66" spans="1:5" ht="40" customHeight="1" x14ac:dyDescent="0.35">
      <c r="A66" s="191"/>
      <c r="B66" s="191"/>
      <c r="C66" s="191"/>
      <c r="D66" s="191"/>
      <c r="E66" s="191"/>
    </row>
  </sheetData>
  <mergeCells count="6">
    <mergeCell ref="A26:F26"/>
    <mergeCell ref="A2:F2"/>
    <mergeCell ref="A6:F6"/>
    <mergeCell ref="A18:F18"/>
    <mergeCell ref="A10:F10"/>
    <mergeCell ref="A8:F8"/>
  </mergeCells>
  <pageMargins left="0.5" right="0.5" top="0.5" bottom="0.75" header="0.5" footer="0.5"/>
  <pageSetup orientation="portrait" r:id="rId1"/>
  <headerFooter>
    <oddFooter>&amp;L&amp;"Arial,Regular"&amp;8© 2019, Forrester Research, Inc.&amp;R&amp;"Arial,Regular"&amp;8&amp;P</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7"/>
  <sheetViews>
    <sheetView workbookViewId="0">
      <selection activeCell="F30" sqref="F30"/>
    </sheetView>
  </sheetViews>
  <sheetFormatPr defaultRowHeight="15.5" x14ac:dyDescent="0.35"/>
  <cols>
    <col min="1" max="1" width="56.1796875" customWidth="1"/>
    <col min="2" max="2" width="3.453125" style="44" customWidth="1"/>
    <col min="3" max="3" width="15.26953125" bestFit="1" customWidth="1"/>
    <col min="4" max="4" width="3" style="48" customWidth="1"/>
    <col min="5" max="5" width="12.81640625" customWidth="1"/>
    <col min="6" max="6" width="15.26953125" customWidth="1"/>
    <col min="7" max="7" width="15.7265625" customWidth="1"/>
    <col min="8" max="8" width="2.7265625" style="47" customWidth="1"/>
    <col min="10" max="10" width="17.7265625" customWidth="1"/>
    <col min="11" max="11" width="19.7265625" customWidth="1"/>
  </cols>
  <sheetData>
    <row r="1" spans="1:11" x14ac:dyDescent="0.35">
      <c r="C1" s="49" t="s">
        <v>116</v>
      </c>
      <c r="E1" s="232" t="s">
        <v>117</v>
      </c>
      <c r="F1" s="232"/>
      <c r="G1" s="232"/>
      <c r="I1" s="232" t="s">
        <v>118</v>
      </c>
      <c r="J1" s="232"/>
      <c r="K1" s="232"/>
    </row>
    <row r="2" spans="1:11" x14ac:dyDescent="0.35">
      <c r="E2" s="36" t="s">
        <v>119</v>
      </c>
      <c r="F2" s="36" t="s">
        <v>68</v>
      </c>
      <c r="G2" s="36" t="s">
        <v>69</v>
      </c>
      <c r="I2" s="36" t="s">
        <v>119</v>
      </c>
      <c r="J2" s="36" t="s">
        <v>68</v>
      </c>
      <c r="K2" s="36" t="s">
        <v>69</v>
      </c>
    </row>
    <row r="3" spans="1:11" ht="18.5" x14ac:dyDescent="0.45">
      <c r="A3" s="42" t="s">
        <v>120</v>
      </c>
      <c r="C3" s="43"/>
      <c r="E3" s="43"/>
      <c r="F3" s="43"/>
      <c r="G3" s="43"/>
      <c r="I3" s="43"/>
      <c r="J3" s="43"/>
      <c r="K3" s="43"/>
    </row>
    <row r="4" spans="1:11" x14ac:dyDescent="0.35">
      <c r="A4" s="50" t="s">
        <v>121</v>
      </c>
      <c r="F4" s="4" t="e">
        <f>#REF!</f>
        <v>#REF!</v>
      </c>
      <c r="G4" s="4" t="e">
        <f>#REF!</f>
        <v>#REF!</v>
      </c>
      <c r="I4" s="4"/>
      <c r="J4" s="4" t="e">
        <f>#REF!</f>
        <v>#REF!</v>
      </c>
      <c r="K4" s="4" t="e">
        <f>#REF!</f>
        <v>#REF!</v>
      </c>
    </row>
    <row r="5" spans="1:11" x14ac:dyDescent="0.35">
      <c r="A5" s="50" t="s">
        <v>122</v>
      </c>
      <c r="F5" s="4" t="e">
        <f>#REF!</f>
        <v>#REF!</v>
      </c>
      <c r="G5" s="4" t="e">
        <f>#REF!</f>
        <v>#REF!</v>
      </c>
      <c r="I5" s="4"/>
      <c r="J5" s="4" t="e">
        <f>#REF!</f>
        <v>#REF!</v>
      </c>
      <c r="K5" s="4" t="e">
        <f>#REF!</f>
        <v>#REF!</v>
      </c>
    </row>
    <row r="6" spans="1:11" x14ac:dyDescent="0.35">
      <c r="A6" s="50" t="s">
        <v>123</v>
      </c>
      <c r="F6" s="4" t="e">
        <f>Benefits!#REF!</f>
        <v>#REF!</v>
      </c>
      <c r="G6" s="4" t="e">
        <f>Benefits!#REF!</f>
        <v>#REF!</v>
      </c>
      <c r="I6" s="4"/>
      <c r="J6" s="4" t="e">
        <f>Benefits!#REF!</f>
        <v>#REF!</v>
      </c>
      <c r="K6" s="4" t="e">
        <f>Benefits!#REF!</f>
        <v>#REF!</v>
      </c>
    </row>
    <row r="7" spans="1:11" x14ac:dyDescent="0.35">
      <c r="A7" s="50" t="s">
        <v>124</v>
      </c>
      <c r="F7" s="4" t="s">
        <v>125</v>
      </c>
      <c r="G7" s="4" t="s">
        <v>126</v>
      </c>
      <c r="I7" s="4"/>
      <c r="J7" s="4" t="s">
        <v>127</v>
      </c>
      <c r="K7" s="4" t="s">
        <v>128</v>
      </c>
    </row>
    <row r="8" spans="1:11" x14ac:dyDescent="0.35">
      <c r="A8" s="50" t="s">
        <v>129</v>
      </c>
      <c r="F8" s="4" t="e">
        <f>#REF!</f>
        <v>#REF!</v>
      </c>
      <c r="G8" s="4" t="e">
        <f>#REF!</f>
        <v>#REF!</v>
      </c>
      <c r="I8" s="4"/>
      <c r="J8" s="4" t="e">
        <f>#REF!</f>
        <v>#REF!</v>
      </c>
      <c r="K8" s="4" t="e">
        <f>#REF!</f>
        <v>#REF!</v>
      </c>
    </row>
    <row r="10" spans="1:11" ht="18.5" x14ac:dyDescent="0.45">
      <c r="A10" s="53" t="s">
        <v>77</v>
      </c>
      <c r="B10" s="45"/>
      <c r="C10" s="13"/>
      <c r="D10" s="54"/>
      <c r="E10" s="13"/>
      <c r="F10" s="28" t="e">
        <f>SUM(F4:F8)</f>
        <v>#REF!</v>
      </c>
      <c r="G10" s="28" t="e">
        <f>SUM(G4:G8)</f>
        <v>#REF!</v>
      </c>
      <c r="H10" s="55"/>
      <c r="I10" s="13"/>
      <c r="J10" s="28" t="e">
        <f>SUM(J4:J8)</f>
        <v>#REF!</v>
      </c>
      <c r="K10" s="28" t="e">
        <f>SUM(K4:K8)</f>
        <v>#REF!</v>
      </c>
    </row>
    <row r="13" spans="1:11" ht="18.5" x14ac:dyDescent="0.45">
      <c r="A13" s="42" t="s">
        <v>130</v>
      </c>
      <c r="C13" s="43"/>
      <c r="E13" s="43"/>
      <c r="F13" s="43"/>
      <c r="G13" s="43"/>
      <c r="I13" s="43"/>
      <c r="J13" s="43"/>
      <c r="K13" s="43"/>
    </row>
    <row r="14" spans="1:11" x14ac:dyDescent="0.35">
      <c r="A14" s="8"/>
      <c r="C14" s="4"/>
      <c r="E14" s="4"/>
      <c r="F14" s="4"/>
      <c r="G14" s="4"/>
      <c r="I14" s="4"/>
      <c r="J14" s="4"/>
      <c r="K14" s="4"/>
    </row>
    <row r="15" spans="1:11" x14ac:dyDescent="0.35">
      <c r="A15" s="8"/>
      <c r="C15" s="36"/>
      <c r="E15" s="36" t="s">
        <v>119</v>
      </c>
      <c r="F15" s="36" t="s">
        <v>68</v>
      </c>
      <c r="G15" s="36" t="s">
        <v>69</v>
      </c>
      <c r="I15" s="36" t="s">
        <v>119</v>
      </c>
      <c r="J15" s="36" t="s">
        <v>68</v>
      </c>
      <c r="K15" s="36" t="s">
        <v>69</v>
      </c>
    </row>
    <row r="16" spans="1:11" x14ac:dyDescent="0.35">
      <c r="A16" s="8" t="s">
        <v>131</v>
      </c>
      <c r="C16" s="4"/>
      <c r="E16" s="4"/>
      <c r="F16" s="4"/>
      <c r="G16" s="4"/>
      <c r="I16" s="4"/>
      <c r="J16" s="4"/>
      <c r="K16" s="4"/>
    </row>
    <row r="17" spans="1:11" x14ac:dyDescent="0.35">
      <c r="A17" s="37" t="s">
        <v>132</v>
      </c>
      <c r="C17" s="4">
        <f>Assumptions!B58*12</f>
        <v>12000000</v>
      </c>
      <c r="E17" s="33">
        <v>-0.05</v>
      </c>
      <c r="F17" s="4">
        <f>C17+(C17*$E$17)</f>
        <v>11400000</v>
      </c>
      <c r="G17" s="52">
        <f>F17+(F17*$E$17)</f>
        <v>10830000</v>
      </c>
      <c r="I17" s="34">
        <v>-7.0000000000000007E-2</v>
      </c>
      <c r="J17" s="52">
        <f>C17+(C17*$I$17)</f>
        <v>11160000</v>
      </c>
      <c r="K17" s="4">
        <f>J17+(J17*$I$17)</f>
        <v>10378800</v>
      </c>
    </row>
    <row r="18" spans="1:11" x14ac:dyDescent="0.35">
      <c r="A18" s="37" t="s">
        <v>133</v>
      </c>
      <c r="C18" s="4">
        <f>C17*Assumptions!B57</f>
        <v>60000000</v>
      </c>
      <c r="E18" s="2"/>
      <c r="F18" s="4">
        <f>F17*Assumptions!B57</f>
        <v>57000000</v>
      </c>
      <c r="G18" s="4">
        <f>G17*Assumptions!B57</f>
        <v>54150000</v>
      </c>
      <c r="I18" s="2"/>
      <c r="J18" s="4">
        <f>J17*Assumptions!B57</f>
        <v>55800000</v>
      </c>
      <c r="K18" s="4">
        <f>K17*Assumptions!B57</f>
        <v>51894000</v>
      </c>
    </row>
    <row r="19" spans="1:11" x14ac:dyDescent="0.35">
      <c r="A19" s="24" t="s">
        <v>134</v>
      </c>
      <c r="C19" s="4"/>
      <c r="E19" s="4"/>
      <c r="F19" s="4">
        <f>$C$18-F18</f>
        <v>3000000</v>
      </c>
      <c r="G19" s="4">
        <f>$C$18-G18</f>
        <v>5850000</v>
      </c>
      <c r="I19" s="4"/>
      <c r="J19" s="4">
        <f>$C$18-J18</f>
        <v>4200000</v>
      </c>
      <c r="K19" s="4">
        <f>$C$18-K18</f>
        <v>8106000</v>
      </c>
    </row>
    <row r="20" spans="1:11" ht="16" thickBot="1" x14ac:dyDescent="0.4">
      <c r="A20" s="38" t="s">
        <v>75</v>
      </c>
      <c r="C20" s="39"/>
      <c r="E20" s="39"/>
      <c r="F20" s="39">
        <f>F19</f>
        <v>3000000</v>
      </c>
      <c r="G20" s="39">
        <f>G19</f>
        <v>5850000</v>
      </c>
      <c r="I20" s="39"/>
      <c r="J20" s="39">
        <f>J19</f>
        <v>4200000</v>
      </c>
      <c r="K20" s="39">
        <f>K19</f>
        <v>8106000</v>
      </c>
    </row>
    <row r="21" spans="1:11" ht="16" thickTop="1" x14ac:dyDescent="0.35"/>
    <row r="22" spans="1:11" ht="18.5" x14ac:dyDescent="0.45">
      <c r="A22" s="42" t="s">
        <v>135</v>
      </c>
      <c r="B22" s="40"/>
      <c r="C22" s="43"/>
      <c r="D22" s="41"/>
      <c r="E22" s="43"/>
      <c r="F22" s="43"/>
      <c r="G22" s="43"/>
      <c r="H22" s="41"/>
      <c r="I22" s="43"/>
      <c r="J22" s="43"/>
      <c r="K22" s="43"/>
    </row>
    <row r="23" spans="1:11" x14ac:dyDescent="0.35">
      <c r="A23" s="50" t="s">
        <v>136</v>
      </c>
      <c r="F23" s="56" t="e">
        <f>F20+F10</f>
        <v>#REF!</v>
      </c>
      <c r="G23" s="56" t="e">
        <f>G20+G10</f>
        <v>#REF!</v>
      </c>
      <c r="H23" s="46"/>
      <c r="I23" s="35"/>
      <c r="J23" s="56" t="e">
        <f>J20+J10</f>
        <v>#REF!</v>
      </c>
      <c r="K23" s="56" t="e">
        <f>K20+K10</f>
        <v>#REF!</v>
      </c>
    </row>
    <row r="24" spans="1:11" x14ac:dyDescent="0.35">
      <c r="A24" s="50" t="s">
        <v>137</v>
      </c>
      <c r="F24" s="51">
        <v>500000</v>
      </c>
      <c r="G24" s="51">
        <v>500000</v>
      </c>
      <c r="H24" s="57"/>
      <c r="I24" s="51"/>
      <c r="J24" s="51">
        <v>1000000</v>
      </c>
      <c r="K24" s="51">
        <v>1000000</v>
      </c>
    </row>
    <row r="26" spans="1:11" ht="16" thickBot="1" x14ac:dyDescent="0.4">
      <c r="A26" s="58" t="s">
        <v>138</v>
      </c>
      <c r="F26" s="59" t="e">
        <f>(F23-F24)/F24</f>
        <v>#REF!</v>
      </c>
      <c r="G26" s="59" t="e">
        <f>(G23-G24)/G24</f>
        <v>#REF!</v>
      </c>
      <c r="J26" s="59" t="e">
        <f>(J23-J24)/J24</f>
        <v>#REF!</v>
      </c>
      <c r="K26" s="59" t="e">
        <f>(K23-K24)/K24</f>
        <v>#REF!</v>
      </c>
    </row>
    <row r="27" spans="1:11" ht="16" thickTop="1" x14ac:dyDescent="0.35"/>
  </sheetData>
  <mergeCells count="2">
    <mergeCell ref="E1:G1"/>
    <mergeCell ref="I1:K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0"/>
  <sheetViews>
    <sheetView workbookViewId="0">
      <selection activeCell="C4" sqref="C4"/>
    </sheetView>
  </sheetViews>
  <sheetFormatPr defaultColWidth="8.81640625" defaultRowHeight="14.5" x14ac:dyDescent="0.35"/>
  <cols>
    <col min="1" max="1" width="27.26953125" customWidth="1"/>
    <col min="2" max="2" width="17.7265625" customWidth="1"/>
    <col min="3" max="3" width="19.81640625" customWidth="1"/>
    <col min="4" max="4" width="13.81640625" customWidth="1"/>
    <col min="5" max="5" width="29.7265625" customWidth="1"/>
    <col min="6" max="6" width="10.453125" customWidth="1"/>
    <col min="7" max="7" width="12" customWidth="1"/>
    <col min="8" max="8" width="17.26953125" customWidth="1"/>
    <col min="9" max="9" width="11.7265625" customWidth="1"/>
    <col min="10" max="10" width="14.453125" customWidth="1"/>
  </cols>
  <sheetData>
    <row r="1" spans="1:10" ht="29" x14ac:dyDescent="0.35">
      <c r="C1" s="50" t="s">
        <v>139</v>
      </c>
      <c r="I1" s="32" t="s">
        <v>140</v>
      </c>
      <c r="J1" s="32" t="s">
        <v>141</v>
      </c>
    </row>
    <row r="2" spans="1:10" x14ac:dyDescent="0.35">
      <c r="A2" t="s">
        <v>142</v>
      </c>
      <c r="C2" s="50"/>
      <c r="H2" t="s">
        <v>143</v>
      </c>
      <c r="I2">
        <v>10</v>
      </c>
      <c r="J2">
        <v>20</v>
      </c>
    </row>
    <row r="3" spans="1:10" x14ac:dyDescent="0.35">
      <c r="A3" s="12"/>
      <c r="B3" s="13" t="s">
        <v>144</v>
      </c>
      <c r="C3" s="13" t="s">
        <v>145</v>
      </c>
      <c r="D3" s="14" t="s">
        <v>146</v>
      </c>
      <c r="H3" t="s">
        <v>147</v>
      </c>
      <c r="I3">
        <v>5</v>
      </c>
      <c r="J3">
        <v>10</v>
      </c>
    </row>
    <row r="4" spans="1:10" x14ac:dyDescent="0.35">
      <c r="A4" s="15" t="s">
        <v>27</v>
      </c>
      <c r="B4" s="4">
        <v>7304220</v>
      </c>
      <c r="C4" s="4" t="e">
        <f>Assumptions!#REF!</f>
        <v>#REF!</v>
      </c>
      <c r="D4" s="21" t="e">
        <f>C4-B4</f>
        <v>#REF!</v>
      </c>
      <c r="H4" t="s">
        <v>148</v>
      </c>
      <c r="I4">
        <v>15</v>
      </c>
      <c r="J4">
        <v>30</v>
      </c>
    </row>
    <row r="5" spans="1:10" x14ac:dyDescent="0.35">
      <c r="A5" s="15" t="s">
        <v>8</v>
      </c>
      <c r="B5" s="4">
        <v>-12284370</v>
      </c>
      <c r="C5" s="4" t="e">
        <f>-Assumptions!#REF!</f>
        <v>#REF!</v>
      </c>
      <c r="D5" s="21" t="e">
        <f>C5-B5</f>
        <v>#REF!</v>
      </c>
    </row>
    <row r="6" spans="1:10" x14ac:dyDescent="0.35">
      <c r="A6" s="15" t="s">
        <v>149</v>
      </c>
      <c r="B6" s="20">
        <v>3505777.2</v>
      </c>
      <c r="C6" s="20" t="e">
        <f>Assumptions!#REF!</f>
        <v>#REF!</v>
      </c>
      <c r="D6" s="21" t="e">
        <f>C6-B6</f>
        <v>#REF!</v>
      </c>
    </row>
    <row r="7" spans="1:10" x14ac:dyDescent="0.35">
      <c r="A7" s="10" t="s">
        <v>77</v>
      </c>
      <c r="B7" s="20">
        <f>SUM(B4:B6)</f>
        <v>-1474372.7999999998</v>
      </c>
      <c r="C7" s="20" t="e">
        <f>SUM(C4:C6)</f>
        <v>#REF!</v>
      </c>
      <c r="D7" s="22" t="e">
        <f>C7-B7</f>
        <v>#REF!</v>
      </c>
    </row>
    <row r="9" spans="1:10" x14ac:dyDescent="0.35">
      <c r="A9" s="1" t="s">
        <v>150</v>
      </c>
    </row>
    <row r="10" spans="1:10" x14ac:dyDescent="0.35">
      <c r="A10" s="17"/>
      <c r="B10" s="13" t="s">
        <v>144</v>
      </c>
      <c r="C10" s="13" t="s">
        <v>145</v>
      </c>
      <c r="D10" s="14" t="s">
        <v>146</v>
      </c>
    </row>
    <row r="11" spans="1:10" x14ac:dyDescent="0.35">
      <c r="A11" s="15" t="s">
        <v>151</v>
      </c>
      <c r="B11" s="4">
        <v>5100000</v>
      </c>
      <c r="C11" s="4" t="e">
        <f>Assumptions!#REF!</f>
        <v>#REF!</v>
      </c>
      <c r="D11" s="21" t="e">
        <f>C11-B11</f>
        <v>#REF!</v>
      </c>
    </row>
    <row r="12" spans="1:10" x14ac:dyDescent="0.35">
      <c r="A12" s="15" t="s">
        <v>152</v>
      </c>
      <c r="B12" s="20">
        <v>1039533000</v>
      </c>
      <c r="C12" s="20" t="e">
        <f>Assumptions!#REF!</f>
        <v>#REF!</v>
      </c>
      <c r="D12" s="21" t="e">
        <f>C12-B12</f>
        <v>#REF!</v>
      </c>
    </row>
    <row r="13" spans="1:10" x14ac:dyDescent="0.35">
      <c r="A13" s="10" t="s">
        <v>77</v>
      </c>
      <c r="B13" s="9">
        <f>SUM(B11:B12)</f>
        <v>1044633000</v>
      </c>
      <c r="C13" s="9" t="e">
        <f>SUM(C11:C12)</f>
        <v>#REF!</v>
      </c>
      <c r="D13" s="9" t="e">
        <f>SUM(D11:D12)</f>
        <v>#REF!</v>
      </c>
    </row>
    <row r="14" spans="1:10" x14ac:dyDescent="0.35">
      <c r="A14" s="24"/>
      <c r="B14" s="4"/>
      <c r="C14" s="4"/>
      <c r="D14" s="4"/>
    </row>
    <row r="15" spans="1:10" ht="15.5" x14ac:dyDescent="0.35">
      <c r="A15" s="8" t="s">
        <v>153</v>
      </c>
    </row>
    <row r="16" spans="1:10" ht="15.5" x14ac:dyDescent="0.35">
      <c r="A16" s="25"/>
      <c r="B16" s="13" t="s">
        <v>144</v>
      </c>
      <c r="C16" s="13" t="s">
        <v>154</v>
      </c>
      <c r="D16" s="14" t="s">
        <v>155</v>
      </c>
      <c r="E16" s="8" t="s">
        <v>156</v>
      </c>
    </row>
    <row r="17" spans="1:10" x14ac:dyDescent="0.35">
      <c r="A17" s="15" t="s">
        <v>157</v>
      </c>
      <c r="B17" s="18">
        <v>1328150000</v>
      </c>
      <c r="C17" s="4" t="e">
        <f>D7+B17</f>
        <v>#REF!</v>
      </c>
      <c r="D17" s="16"/>
      <c r="E17" s="1" t="s">
        <v>158</v>
      </c>
      <c r="F17" t="s">
        <v>158</v>
      </c>
      <c r="G17" t="s">
        <v>159</v>
      </c>
      <c r="H17" t="s">
        <v>160</v>
      </c>
      <c r="I17" t="s">
        <v>161</v>
      </c>
      <c r="J17" t="s">
        <v>162</v>
      </c>
    </row>
    <row r="18" spans="1:10" x14ac:dyDescent="0.35">
      <c r="A18" s="15" t="s">
        <v>163</v>
      </c>
      <c r="B18" s="18"/>
      <c r="D18" s="16"/>
      <c r="E18" s="50" t="s">
        <v>164</v>
      </c>
      <c r="F18" s="6">
        <v>510000</v>
      </c>
      <c r="G18" s="5"/>
      <c r="H18" s="5"/>
      <c r="I18" s="5"/>
      <c r="J18" s="5"/>
    </row>
    <row r="19" spans="1:10" x14ac:dyDescent="0.35">
      <c r="A19" s="29" t="s">
        <v>77</v>
      </c>
      <c r="B19" s="28">
        <f>B17+B18</f>
        <v>1328150000</v>
      </c>
      <c r="C19" s="28" t="e">
        <f>SUM(C17:C18)</f>
        <v>#REF!</v>
      </c>
      <c r="D19" s="14"/>
      <c r="E19" s="50" t="s">
        <v>165</v>
      </c>
      <c r="F19" s="5"/>
      <c r="G19" s="5"/>
      <c r="H19" s="5"/>
      <c r="I19" s="5"/>
      <c r="J19" s="5"/>
    </row>
    <row r="20" spans="1:10" x14ac:dyDescent="0.35">
      <c r="A20" s="1" t="s">
        <v>166</v>
      </c>
      <c r="B20" s="4"/>
      <c r="C20" s="4"/>
      <c r="E20" s="50"/>
      <c r="F20" s="5"/>
      <c r="G20" s="5"/>
      <c r="H20" s="5"/>
      <c r="I20" s="5"/>
      <c r="J20" s="5"/>
    </row>
    <row r="21" spans="1:10" x14ac:dyDescent="0.35">
      <c r="A21" s="12" t="s">
        <v>167</v>
      </c>
      <c r="B21" s="27">
        <v>1157666000</v>
      </c>
      <c r="C21" s="28" t="e">
        <f>C13</f>
        <v>#REF!</v>
      </c>
      <c r="D21" s="14"/>
      <c r="E21" s="50" t="s">
        <v>168</v>
      </c>
      <c r="F21" s="7">
        <v>2604</v>
      </c>
      <c r="G21" s="5"/>
      <c r="H21" s="5"/>
      <c r="I21" s="5"/>
      <c r="J21" s="5"/>
    </row>
    <row r="22" spans="1:10" x14ac:dyDescent="0.35">
      <c r="A22" s="30" t="s">
        <v>163</v>
      </c>
      <c r="B22" s="31"/>
      <c r="C22" s="19"/>
      <c r="D22" s="26"/>
    </row>
    <row r="23" spans="1:10" x14ac:dyDescent="0.35">
      <c r="A23" s="10" t="s">
        <v>77</v>
      </c>
      <c r="B23" s="23">
        <f>B21+B22</f>
        <v>1157666000</v>
      </c>
      <c r="C23" s="23" t="e">
        <f>SUM(C21:C22)</f>
        <v>#REF!</v>
      </c>
      <c r="D23" s="11"/>
    </row>
    <row r="25" spans="1:10" x14ac:dyDescent="0.35">
      <c r="A25" s="3" t="s">
        <v>169</v>
      </c>
      <c r="B25" s="4">
        <f>B19-B23</f>
        <v>170484000</v>
      </c>
    </row>
    <row r="50" spans="1:1" x14ac:dyDescent="0.35">
      <c r="A50" s="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50B60358194F44A73DF704DD15F95C" ma:contentTypeVersion="23" ma:contentTypeDescription="Create a new document." ma:contentTypeScope="" ma:versionID="7dd88cc28d3cf0e9160aa1ee31bbbc00">
  <xsd:schema xmlns:xsd="http://www.w3.org/2001/XMLSchema" xmlns:xs="http://www.w3.org/2001/XMLSchema" xmlns:p="http://schemas.microsoft.com/office/2006/metadata/properties" xmlns:ns2="dd81057f-2d8c-4514-9ad8-3c63e9242efd" xmlns:ns3="7beb7e7f-e8a3-4a2c-83d7-d3340e7d527b" xmlns:ns4="44619702-0492-498f-8686-260a31be5d4d" targetNamespace="http://schemas.microsoft.com/office/2006/metadata/properties" ma:root="true" ma:fieldsID="7c0b481df425cb1dfc9f06823b0249f8" ns2:_="" ns3:_="" ns4:_="">
    <xsd:import namespace="dd81057f-2d8c-4514-9ad8-3c63e9242efd"/>
    <xsd:import namespace="7beb7e7f-e8a3-4a2c-83d7-d3340e7d527b"/>
    <xsd:import namespace="44619702-0492-498f-8686-260a31be5d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SearchProperties" minOccurs="0"/>
                <xsd:element ref="ns2:Agenda" minOccurs="0"/>
                <xsd:element ref="ns2:Agendaitems" minOccurs="0"/>
                <xsd:element ref="ns2:Mon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1057f-2d8c-4514-9ad8-3c63e9242e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Deprecated)" ma:internalName="MediaServiceAutoTags" ma:readOnly="fals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0213b9a-8dfc-41c1-abc7-72ad8c0d4070"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Agenda" ma:index="25" nillable="true" ma:displayName="Agenda" ma:format="Dropdown" ma:internalName="Agenda">
      <xsd:simpleType>
        <xsd:restriction base="dms:Note">
          <xsd:maxLength value="255"/>
        </xsd:restriction>
      </xsd:simpleType>
    </xsd:element>
    <xsd:element name="Agendaitems" ma:index="26" nillable="true" ma:displayName="Agenda items" ma:format="Dropdown" ma:internalName="Agendaitems">
      <xsd:simpleType>
        <xsd:restriction base="dms:Note">
          <xsd:maxLength value="255"/>
        </xsd:restriction>
      </xsd:simpleType>
    </xsd:element>
    <xsd:element name="Month" ma:index="27" nillable="true" ma:displayName="Month" ma:format="Dropdown" ma:internalName="Mon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eb7e7f-e8a3-4a2c-83d7-d3340e7d527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619702-0492-498f-8686-260a31be5d4d"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70632f3c-b65b-4495-85ff-038909792d6d}" ma:internalName="TaxCatchAll" ma:showField="CatchAllData" ma:web="7beb7e7f-e8a3-4a2c-83d7-d3340e7d52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enda xmlns="dd81057f-2d8c-4514-9ad8-3c63e9242efd" xsi:nil="true"/>
    <Agendaitems xmlns="dd81057f-2d8c-4514-9ad8-3c63e9242efd" xsi:nil="true"/>
    <MediaServiceAutoTags xmlns="dd81057f-2d8c-4514-9ad8-3c63e9242efd" xsi:nil="true"/>
    <lcf76f155ced4ddcb4097134ff3c332f xmlns="dd81057f-2d8c-4514-9ad8-3c63e9242efd">
      <Terms xmlns="http://schemas.microsoft.com/office/infopath/2007/PartnerControls"/>
    </lcf76f155ced4ddcb4097134ff3c332f>
    <TaxCatchAll xmlns="44619702-0492-498f-8686-260a31be5d4d" xsi:nil="true"/>
    <Month xmlns="dd81057f-2d8c-4514-9ad8-3c63e9242e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5467A7-0251-4F66-81AE-9099AB324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1057f-2d8c-4514-9ad8-3c63e9242efd"/>
    <ds:schemaRef ds:uri="7beb7e7f-e8a3-4a2c-83d7-d3340e7d527b"/>
    <ds:schemaRef ds:uri="44619702-0492-498f-8686-260a31be5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3427A3-3483-469A-97D7-5ACF94BFCC9C}">
  <ds:schemaRefs>
    <ds:schemaRef ds:uri="http://purl.org/dc/terms/"/>
    <ds:schemaRef ds:uri="73fdcedb-42d7-4141-a34c-4396499df413"/>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 ds:uri="http://www.w3.org/XML/1998/namespace"/>
    <ds:schemaRef ds:uri="http://purl.org/dc/dcmitype/"/>
    <ds:schemaRef ds:uri="9a18e50d-8428-47f9-9472-f16e26335cd1"/>
    <ds:schemaRef ds:uri="http://purl.org/dc/elements/1.1/"/>
    <ds:schemaRef ds:uri="dd81057f-2d8c-4514-9ad8-3c63e9242efd"/>
    <ds:schemaRef ds:uri="44619702-0492-498f-8686-260a31be5d4d"/>
  </ds:schemaRefs>
</ds:datastoreItem>
</file>

<file path=customXml/itemProps3.xml><?xml version="1.0" encoding="utf-8"?>
<ds:datastoreItem xmlns:ds="http://schemas.openxmlformats.org/officeDocument/2006/customXml" ds:itemID="{3574B1C2-5DAD-4017-9A27-E2243243D8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Instructions</vt:lpstr>
      <vt:lpstr>Assumptions</vt:lpstr>
      <vt:lpstr>Benefits</vt:lpstr>
      <vt:lpstr>Costs</vt:lpstr>
      <vt:lpstr>Risk</vt:lpstr>
      <vt:lpstr>Results — Low Case</vt:lpstr>
      <vt:lpstr>Results — High Case</vt:lpstr>
      <vt:lpstr>Overview</vt:lpstr>
      <vt:lpstr>Inputs</vt:lpstr>
      <vt:lpstr>Assumptions!Print_Area</vt:lpstr>
      <vt:lpstr>Benefits!Print_Area</vt:lpstr>
      <vt:lpstr>Costs!Print_Area</vt:lpstr>
      <vt:lpstr>'Results — High Case'!Print_Area</vt:lpstr>
      <vt:lpstr>'Results — Low Case'!Print_Area</vt:lpstr>
      <vt:lpstr>Risk!Print_Area</vt:lpstr>
    </vt:vector>
  </TitlesOfParts>
  <Manager/>
  <Company>Forrester Research,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Czarnecki</dc:creator>
  <cp:keywords/>
  <dc:description/>
  <cp:lastModifiedBy>Ami Albernaz</cp:lastModifiedBy>
  <cp:revision/>
  <dcterms:created xsi:type="dcterms:W3CDTF">2016-01-13T20:28:43Z</dcterms:created>
  <dcterms:modified xsi:type="dcterms:W3CDTF">2024-08-20T17:29:35Z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0x010100B950B60358194F44A73DF704DD15F95C</vt:lpwstr>
  </property>
  <property fmtid="{D5CDD505-2E9C-101B-9397-08002B2CF9AE}" pid="3" name="MediaServiceImageTags">
    <vt:lpwstr/>
  </property>
</Properties>
</file>